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Vos chiffres" sheetId="2" state="visible" r:id="rId4"/>
    <sheet name="Résultats" sheetId="3" state="visible" r:id="rId5"/>
    <sheet name="Train ou voiture" sheetId="4" state="visible" r:id="rId6"/>
    <sheet name="Budget logement" sheetId="5" state="visible" r:id="rId7"/>
    <sheet name="Paramètre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<sst xmlns="http://schemas.openxmlformats.org/spreadsheetml/2006/main" count="249" uniqueCount="244">
  <si>
    <t xml:space="preserve">Le simulateur du frontalier à Monaco 2026</t>
  </si>
  <si>
    <t xml:space="preserve">Un outil gratuit Côté Frontalier – habitercotefrancais.fr/simulateur-monaco</t>
  </si>
  <si>
    <t xml:space="preserve">Version 2026.1 du 01/11/2026</t>
  </si>
  <si>
    <t xml:space="preserve">Ce que fait ce fichier</t>
  </si>
  <si>
    <t xml:space="preserve">Il refait, avec VOS chiffres, les calculs d'un salarié qui travaille à Monaco et habite en France :</t>
  </si>
  <si>
    <t xml:space="preserve">1. votre salaire net, ligne par ligne : retraite CAR, chômage, retraite complémentaire CMRC (taux au 1er octobre 2026), sans CSG-CRDS ;</t>
  </si>
  <si>
    <t xml:space="preserve">2. l'impôt sur le revenu français (barème 2026, quotient familial, décote), l'acompte mensuel à prévoir, et s'il vaut mieux déclarer les frais réels ;</t>
  </si>
  <si>
    <t xml:space="preserve">3. train ou voiture : le vrai coût annuel (barème kilométrique officiel, parking, péages) et le temps passé dans les transports ;</t>
  </si>
  <si>
    <t xml:space="preserve">4. ce qu'il vous reste chaque mois, votre capacité d'emprunt et la surface accessible de Menton à Nice.</t>
  </si>
  <si>
    <t xml:space="preserve">Mode d'emploi (2 minutes)</t>
  </si>
  <si>
    <t xml:space="preserve">1. Ouvrez « Vos chiffres » et remplacez les cases jaunes par votre situation.</t>
  </si>
  <si>
    <t xml:space="preserve">2. Lisez « Résultats », puis « Train ou voiture » et « Budget logement ».</t>
  </si>
  <si>
    <t xml:space="preserve">3. Chaque année, mettez à jour les cases jaunes de l'onglet « Paramètres » (les cotisations monégasques changent chaque 1er octobre).</t>
  </si>
  <si>
    <t xml:space="preserve">Légende : case jaune à texte bleu = à remplir ; texte noir = calcul automatique, protégé contre les modifications accidentelles.</t>
  </si>
  <si>
    <t xml:space="preserve">Avertissement : calculs indicatifs</t>
  </si>
  <si>
    <t xml:space="preserve">Ce simulateur est un outil pédagogique. Il fournit des calculs indicatifs à partir des règles générales publiées au 01/11/2026 et de vos propres saisies. Il concerne un salarié travaillant à Monaco, résidant fiscalement en France et affilié aux Caisses sociales de Monaco (les Français résidant à Monaco ont un autre régime). Il ne constitue ni un conseil fiscal, ni un conseil juridique, ni un conseil financier, et ne remplace pas l'avis d'un professionnel (fiscaliste, avocat, Caisses sociales de Monaco, banque). Les taux, plafonds et barèmes changent chaque année ; certaines valeurs sont des hypothèses, signalées comme telles. Votre situation réelle peut donner un résultat différent. Côté Frontalier n'est ni conseiller fiscal, ni intermédiaire en crédit, et ne peut être tenu responsable d'une décision prise sur la seule base de ce fichier.</t>
  </si>
  <si>
    <t xml:space="preserve">Sources officielles (détail et dates dans « Paramètres »)</t>
  </si>
  <si>
    <t xml:space="preserve">• Cotisations sociales à Monaco (01/10/2026 – 30/09/2027) : Cleiss – cleiss.fr ; Caisses sociales de Monaco – caisses-sociales.mc</t>
  </si>
  <si>
    <t xml:space="preserve">• Imposition des salariés de Monaco résidant en France, formulaire 2047, acomptes : impots.gouv.fr</t>
  </si>
  <si>
    <t xml:space="preserve">• Barème de l'impôt, quotient familial, décote : impots.gouv.fr / BOFiP</t>
  </si>
  <si>
    <t xml:space="preserve">• Barème kilométrique 2026 : service-public.gouv.fr / impots.gouv.fr</t>
  </si>
  <si>
    <t xml:space="preserve">• Abonnements de train : ter.sncf.com (réseau Zou!, Région Sud)</t>
  </si>
  <si>
    <t xml:space="preserve">• Prix réels des logements par commune : habitercotefrancais.fr/monaco/communes/</t>
  </si>
  <si>
    <t xml:space="preserve">© 2026 Côté Frontalier. Fichier gratuit pour un usage personnel. Reproduction et revente interdites.</t>
  </si>
  <si>
    <t xml:space="preserve">Vos chiffres</t>
  </si>
  <si>
    <t xml:space="preserve">Remplacez uniquement les cases jaunes (texte bleu). Les valeurs déjà saisies sont un exemple.</t>
  </si>
  <si>
    <t xml:space="preserve">Votre situation</t>
  </si>
  <si>
    <t xml:space="preserve">Votre valeur</t>
  </si>
  <si>
    <t xml:space="preserve">Aide</t>
  </si>
  <si>
    <t xml:space="preserve">Salaire brut mensuel à Monaco (€)</t>
  </si>
  <si>
    <t xml:space="preserve">Le salaire brut mensuel de votre contrat.</t>
  </si>
  <si>
    <t xml:space="preserve">Nombre de salaires par an</t>
  </si>
  <si>
    <t xml:space="preserve">12, ou 13 avec un 13e mois.</t>
  </si>
  <si>
    <t xml:space="preserve">Situation familiale</t>
  </si>
  <si>
    <t xml:space="preserve">Seul</t>
  </si>
  <si>
    <t xml:space="preserve">« Seul » ou « En couple » (marié ou pacsé).</t>
  </si>
  <si>
    <t xml:space="preserve">Nombre d'enfants à charge</t>
  </si>
  <si>
    <t xml:space="preserve">Les parts fiscales en découlent.</t>
  </si>
  <si>
    <t xml:space="preserve">Autres revenus nets imposables du foyer en France (€/an)</t>
  </si>
  <si>
    <t xml:space="preserve">Par exemple le salaire net imposable de votre conjoint.</t>
  </si>
  <si>
    <t xml:space="preserve">Commune où vous habitez ou visez</t>
  </si>
  <si>
    <t xml:space="preserve">Menton</t>
  </si>
  <si>
    <t xml:space="preserve">Pour mémoire.</t>
  </si>
  <si>
    <t xml:space="preserve">Distance aller domicile – travail (km)</t>
  </si>
  <si>
    <t xml:space="preserve">Jours travaillés sur place par an</t>
  </si>
  <si>
    <t xml:space="preserve">Environ 210 à 220 jours pour un temps plein (congés et télétravail déduits).</t>
  </si>
  <si>
    <t xml:space="preserve">Moyen de transport principal</t>
  </si>
  <si>
    <t xml:space="preserve">Train</t>
  </si>
  <si>
    <t xml:space="preserve">« Train » ou « Voiture ».</t>
  </si>
  <si>
    <t xml:space="preserve">Abonnement de train mensuel (€)</t>
  </si>
  <si>
    <t xml:space="preserve">Valeur d'exemple : mettez le prix réel de votre abonnement Zou! (ter.sncf.com, Région Sud).</t>
  </si>
  <si>
    <t xml:space="preserve">Part de l'abonnement remboursée par l'employeur</t>
  </si>
  <si>
    <t xml:space="preserve">Selon votre contrat.</t>
  </si>
  <si>
    <t xml:space="preserve">Temps de trajet aller en train, porte à porte (min)</t>
  </si>
  <si>
    <t xml:space="preserve">Puissance fiscale de la voiture (CV)</t>
  </si>
  <si>
    <t xml:space="preserve">Sur la carte grise (case P.6) : 3 (et moins) à 7 (et plus).</t>
  </si>
  <si>
    <t xml:space="preserve">Parking à Monaco (€/mois)</t>
  </si>
  <si>
    <t xml:space="preserve">Abonnement de parking public ou privé.</t>
  </si>
  <si>
    <t xml:space="preserve">Péages (€/mois)</t>
  </si>
  <si>
    <t xml:space="preserve">Temps de trajet aller en voiture aux heures de pointe (min)</t>
  </si>
  <si>
    <t xml:space="preserve">Bouchons de la Moyenne et de la Basse Corniche compris.</t>
  </si>
  <si>
    <t xml:space="preserve">Valeur que vous donnez à une heure de votre temps (€)</t>
  </si>
  <si>
    <t xml:space="preserve">Facultatif : laissez 0 pour ne compter que l'argent.</t>
  </si>
  <si>
    <t xml:space="preserve">Prix moyen au m² de la commune visée (€)</t>
  </si>
  <si>
    <t xml:space="preserve">Prix réels par commune : habitercotefrancais.fr/monaco/communes/</t>
  </si>
  <si>
    <t xml:space="preserve">Apport personnel (€)</t>
  </si>
  <si>
    <t xml:space="preserve">Crédits déjà en cours (€/mois)</t>
  </si>
  <si>
    <t xml:space="preserve">Ils réduisent ce que vous pouvez emprunter.</t>
  </si>
  <si>
    <t xml:space="preserve">Taux du crédit immobilier, assurance comprise</t>
  </si>
  <si>
    <t xml:space="preserve">3,85 % sur 25 ans assurance comprise (barèmes de courtiers relevés en septembre 2026 + 0,30 point d'assurance). Mettez le taux proposé par votre banque.</t>
  </si>
  <si>
    <t xml:space="preserve">Durée du crédit (années)</t>
  </si>
  <si>
    <t xml:space="preserve">25 ans maximum pour un achat classique (HCSF).</t>
  </si>
  <si>
    <t xml:space="preserve">Vos résultats : onglets « Résultats », « Train ou voiture » et « Budget logement ».</t>
  </si>
  <si>
    <t xml:space="preserve">Ce fichier ne transmet aucune donnée : tout reste sur votre ordinateur.</t>
  </si>
  <si>
    <t xml:space="preserve">Vos résultats</t>
  </si>
  <si>
    <t xml:space="preserve">Calculs indicatifs à partir de « Vos chiffres ». Ils ne remplacent pas un conseil personnalisé.</t>
  </si>
  <si>
    <t xml:space="preserve">1. Du brut au net, ligne par ligne</t>
  </si>
  <si>
    <t xml:space="preserve">Salaire brut annuel</t>
  </si>
  <si>
    <t xml:space="preserve">Retraite CAR</t>
  </si>
  <si>
    <t xml:space="preserve">Plafonds mensuels appliqués sur l'année (12 plafonds).</t>
  </si>
  <si>
    <t xml:space="preserve">Assurance chômage</t>
  </si>
  <si>
    <t xml:space="preserve">Retraite complémentaire CMRC – tranche A</t>
  </si>
  <si>
    <t xml:space="preserve">Retraite complémentaire CMRC – tranche B</t>
  </si>
  <si>
    <t xml:space="preserve">Maladie CCSS (part salarié)</t>
  </si>
  <si>
    <t xml:space="preserve">Payée par l'employeur : vous êtes couvert par la sécurité sociale monégasque.</t>
  </si>
  <si>
    <t xml:space="preserve">CSG-CRDS</t>
  </si>
  <si>
    <t xml:space="preserve">Pas de CSG-CRDS sur ce salaire pour un salarié affilié aux Caisses sociales de Monaco.</t>
  </si>
  <si>
    <t xml:space="preserve">Prévoyance, mutuelle et divers</t>
  </si>
  <si>
    <t xml:space="preserve">Total des cotisations salariales</t>
  </si>
  <si>
    <t xml:space="preserve">Salaire net annuel</t>
  </si>
  <si>
    <t xml:space="preserve">Salaire net mensuel (moyenne sur 12 mois)</t>
  </si>
  <si>
    <t xml:space="preserve">2. Impôt sur le revenu en France</t>
  </si>
  <si>
    <t xml:space="preserve">Salaire net imposable avant frais professionnels</t>
  </si>
  <si>
    <t xml:space="preserve">Abattement forfaitaire de 10 %</t>
  </si>
  <si>
    <t xml:space="preserve">Frais réels de trajet (si vous les déclarez)</t>
  </si>
  <si>
    <t xml:space="preserve">Détail dans l'onglet « Train ou voiture ».</t>
  </si>
  <si>
    <t xml:space="preserve">Déduction retenue (la plus avantageuse)</t>
  </si>
  <si>
    <t xml:space="preserve">Option conseillée</t>
  </si>
  <si>
    <t xml:space="preserve">Les frais réels se justifient (abonnement, carte grise, factures de parking et de péage).</t>
  </si>
  <si>
    <t xml:space="preserve">Salaire net imposable</t>
  </si>
  <si>
    <t xml:space="preserve">Revenu net imposable total du foyer</t>
  </si>
  <si>
    <t xml:space="preserve">Parts de base (sans enfant)</t>
  </si>
  <si>
    <t xml:space="preserve">Parts fiscales du foyer</t>
  </si>
  <si>
    <t xml:space="preserve">0,5 part par enfant pour les deux premiers, 1 part à partir du 3e (cas particuliers non modélisés).</t>
  </si>
  <si>
    <t xml:space="preserve">Impôt avec vos parts</t>
  </si>
  <si>
    <t xml:space="preserve">Impôt avec les parts de base (sans enfant)</t>
  </si>
  <si>
    <t xml:space="preserve">Impôt après plafonnement du quotient familial</t>
  </si>
  <si>
    <t xml:space="preserve">L'avantage lié aux enfants est plafonné par demi-part.</t>
  </si>
  <si>
    <t xml:space="preserve">Décote</t>
  </si>
  <si>
    <t xml:space="preserve">Impôt sur le revenu du foyer</t>
  </si>
  <si>
    <t xml:space="preserve">…dont part liée à votre salaire monégasque</t>
  </si>
  <si>
    <t xml:space="preserve">Acompte mensuel à prévoir (part du salaire monégasque)</t>
  </si>
  <si>
    <t xml:space="preserve">Votre employeur monégasque ne prélève rien : l'impôt est payé par acomptes mensuels prélevés sur votre compte (espace particulier impots.gouv.fr).</t>
  </si>
  <si>
    <t xml:space="preserve">3. Ce qui vous reste vraiment</t>
  </si>
  <si>
    <t xml:space="preserve">Impôt lié au salaire monégasque</t>
  </si>
  <si>
    <t xml:space="preserve">Coût réel du trajet (moyen choisi)</t>
  </si>
  <si>
    <t xml:space="preserve">Reste annuel</t>
  </si>
  <si>
    <t xml:space="preserve">Reste mensuel</t>
  </si>
  <si>
    <t xml:space="preserve">4. Points de vigilance</t>
  </si>
  <si>
    <t xml:space="preserve">Acomptes d'impôt</t>
  </si>
  <si>
    <t xml:space="preserve">À mettre en place</t>
  </si>
  <si>
    <t xml:space="preserve">Aucun prélèvement par l'employeur monégasque : vérifiez dès le premier salaire que des acomptes sont programmés sur impots.gouv.fr, sinon tout l'impôt tombe l'année suivante.</t>
  </si>
  <si>
    <t xml:space="preserve">Déclaration</t>
  </si>
  <si>
    <t xml:space="preserve">Formulaire 2047</t>
  </si>
  <si>
    <t xml:space="preserve">Les salaires monégasques se déclarent sur le formulaire 2047 (revenus de source étrangère), puis sur la déclaration 2042.</t>
  </si>
  <si>
    <t xml:space="preserve">Sécurité sociale</t>
  </si>
  <si>
    <t xml:space="preserve">Monaco</t>
  </si>
  <si>
    <t xml:space="preserve">Affilié aux Caisses sociales de Monaco : pas de CSG-CRDS sur ce salaire. Vos autres revenus (fonciers, placements) restent soumis aux prélèvements sociaux français.</t>
  </si>
  <si>
    <t xml:space="preserve">Télétravail</t>
  </si>
  <si>
    <t xml:space="preserve">À vérifier</t>
  </si>
  <si>
    <t xml:space="preserve">Le télétravail depuis la France est encadré par les accords franco-monégasques : faites valider votre nombre de jours par votre employeur.</t>
  </si>
  <si>
    <t xml:space="preserve">Calculs indicatifs fondés sur les règles publiées au 01/11/2026 (onglet « Paramètres »), pour un salarié travaillant à Monaco, résidant fiscalement en France et affilié aux Caisses sociales de Monaco. Ils ne remplacent pas un conseil personnalisé d'un fiscaliste, des Caisses sociales de Monaco ou de votre banque. Côté Frontalier n'est ni conseiller fiscal, ni intermédiaire en crédit.</t>
  </si>
  <si>
    <t xml:space="preserve">Train ou voiture : le vrai coût de vos trajets</t>
  </si>
  <si>
    <t xml:space="preserve">Calcul indicatif : coût d'usage de la voiture selon le barème kilométrique officiel 2026, parking, péages et temps passé.</t>
  </si>
  <si>
    <t xml:space="preserve">1. Coût annuel de chaque solution</t>
  </si>
  <si>
    <t xml:space="preserve">Kilomètres par an (aller-retour)</t>
  </si>
  <si>
    <t xml:space="preserve">Coût d'usage de votre voiture (barème kilométrique)</t>
  </si>
  <si>
    <t xml:space="preserve">Carburant, entretien, assurance et usure.</t>
  </si>
  <si>
    <t xml:space="preserve">Parking et péages (par an)</t>
  </si>
  <si>
    <t xml:space="preserve">Train : abonnement à votre charge (par an)</t>
  </si>
  <si>
    <t xml:space="preserve">Voiture : usage + parking + péages (par an)</t>
  </si>
  <si>
    <t xml:space="preserve">Écart par an</t>
  </si>
  <si>
    <t xml:space="preserve">La solution la moins chère</t>
  </si>
  <si>
    <t xml:space="preserve">2. Frais réels déductibles de l'impôt</t>
  </si>
  <si>
    <t xml:space="preserve">Kilomètres retenus pour les frais réels (40 km aller au plus)</t>
  </si>
  <si>
    <t xml:space="preserve">Frais réels de trajet (moyen choisi)</t>
  </si>
  <si>
    <t xml:space="preserve">Comparés à l'abattement de 10 % dans « Résultats ».</t>
  </si>
  <si>
    <t xml:space="preserve">3. Le temps perdu</t>
  </si>
  <si>
    <t xml:space="preserve">Heures par an en train</t>
  </si>
  <si>
    <t xml:space="preserve">Heures par an en voiture</t>
  </si>
  <si>
    <t xml:space="preserve">Temps gagné par an avec la solution la plus rapide</t>
  </si>
  <si>
    <t xml:space="preserve">Coût du temps passé : train</t>
  </si>
  <si>
    <t xml:space="preserve">Selon la valeur d'une heure saisie dans « Vos chiffres » (0 = non compté).</t>
  </si>
  <si>
    <t xml:space="preserve">Coût du temps passé : voiture</t>
  </si>
  <si>
    <t xml:space="preserve">Bilan argent + temps : train</t>
  </si>
  <si>
    <t xml:space="preserve">Bilan argent + temps : voiture</t>
  </si>
  <si>
    <t xml:space="preserve">Votre budget logement côté France</t>
  </si>
  <si>
    <t xml:space="preserve">Calcul indicatif : 35 % d'endettement, taux assurance comprise, frais d'achat déduits.</t>
  </si>
  <si>
    <t xml:space="preserve">1. Revenus retenus par la banque</t>
  </si>
  <si>
    <t xml:space="preserve">Salaire monégasque net annuel</t>
  </si>
  <si>
    <t xml:space="preserve">Autres revenus du foyer en France</t>
  </si>
  <si>
    <t xml:space="preserve">Revenus annuels retenus</t>
  </si>
  <si>
    <t xml:space="preserve">Revenus mensuels retenus</t>
  </si>
  <si>
    <t xml:space="preserve">2. Ce que vous pouvez emprunter</t>
  </si>
  <si>
    <t xml:space="preserve">Mensualité maximale (35 %, crédits en cours déduits)</t>
  </si>
  <si>
    <t xml:space="preserve">Taux du crédit, assurance comprise</t>
  </si>
  <si>
    <t xml:space="preserve">Durée (années)</t>
  </si>
  <si>
    <t xml:space="preserve">Montant que vous pourriez emprunter</t>
  </si>
  <si>
    <t xml:space="preserve">Coût total des intérêts et de l'assurance</t>
  </si>
  <si>
    <t xml:space="preserve">Apport personnel</t>
  </si>
  <si>
    <t xml:space="preserve">Budget total (emprunt + apport)</t>
  </si>
  <si>
    <t xml:space="preserve">3. Le logement possible</t>
  </si>
  <si>
    <t xml:space="preserve">Prix du logement possible (frais d'achat déduits)</t>
  </si>
  <si>
    <t xml:space="preserve">Commune visée</t>
  </si>
  <si>
    <t xml:space="preserve">Prix moyen au m² saisi</t>
  </si>
  <si>
    <t xml:space="preserve">Surface possible dans la commune visée</t>
  </si>
  <si>
    <t xml:space="preserve">Prix réels de chaque commune, de Menton à Nice : habitercotefrancais.fr/monaco/communes/</t>
  </si>
  <si>
    <t xml:space="preserve">Calcul indicatif : chaque banque applique ses propres règles (reste à vivre, apport minimum). Il ne remplace pas l'étude de votre banque ou d'un courtier.</t>
  </si>
  <si>
    <t xml:space="preserve">Paramètres officiels utilisés par le simulateur</t>
  </si>
  <si>
    <t xml:space="preserve">Valeurs relevées le 01/11/2026. Elles changent chaque année : mettez à jour les cases jaunes avec la source indiquée sur chaque ligne.</t>
  </si>
  <si>
    <t xml:space="preserve">Paramètre</t>
  </si>
  <si>
    <t xml:space="preserve">Valeur</t>
  </si>
  <si>
    <t xml:space="preserve">Source et date du relevé</t>
  </si>
  <si>
    <t xml:space="preserve">Retraite CAR – part salarié</t>
  </si>
  <si>
    <t xml:space="preserve">6,85 % salarié (8,39 % employeur). Cleiss, « Les cotisations à Monaco », taux du 01/10/2026 au 30/09/2027 (cleiss.fr, page d'octobre 2026, relevée le 01/11/2026) ; Caisses sociales de Monaco (caisses-sociales.mc).</t>
  </si>
  <si>
    <t xml:space="preserve">CAR – plafond mensuel</t>
  </si>
  <si>
    <t xml:space="preserve">Cleiss, « Les cotisations à Monaco », taux du 01/10/2026 au 30/09/2027 (cleiss.fr, page d'octobre 2026, relevée le 01/11/2026) ; Caisses sociales de Monaco (caisses-sociales.mc).</t>
  </si>
  <si>
    <t xml:space="preserve">Assurance chômage – part salarié</t>
  </si>
  <si>
    <t xml:space="preserve">2,40 % salarié (4,00 % employeur) : régime français appliqué à Monaco, taux au 01/01/2026, révisé chaque année. Cleiss, « Les cotisations à Monaco », taux du 01/10/2026 au 30/09/2027 (cleiss.fr, page d'octobre 2026, relevée le 01/11/2026) ; Caisses sociales de Monaco (caisses-sociales.mc).</t>
  </si>
  <si>
    <t xml:space="preserve">Assurance chômage – plafond mensuel</t>
  </si>
  <si>
    <t xml:space="preserve">Retraite complémentaire CMRC tranche A – part salarié</t>
  </si>
  <si>
    <t xml:space="preserve">Taux total 12,17 % (10,02 % + 2,15 %), réparti 60 % employeur / 40 % salarié : 4,868 %. Cleiss, « Les cotisations à Monaco », taux du 01/10/2026 au 30/09/2027 (cleiss.fr, page d'octobre 2026, relevée le 01/11/2026) ; Caisses sociales de Monaco (caisses-sociales.mc).</t>
  </si>
  <si>
    <t xml:space="preserve">CMRC – plafond mensuel de la tranche A</t>
  </si>
  <si>
    <t xml:space="preserve">Retraite complémentaire CMRC tranche B – part salarié</t>
  </si>
  <si>
    <t xml:space="preserve">Taux total 26,99 % (24,29 % + 2,70 %), 40 % salarié : 10,796 %. Cleiss, « Les cotisations à Monaco », taux du 01/10/2026 au 30/09/2027 (cleiss.fr, page d'octobre 2026, relevée le 01/11/2026) ; Caisses sociales de Monaco (caisses-sociales.mc).</t>
  </si>
  <si>
    <t xml:space="preserve">CMRC – plafond mensuel de la tranche B</t>
  </si>
  <si>
    <t xml:space="preserve">8 fois le plafond de la tranche A. Cleiss, « Les cotisations à Monaco », taux du 01/10/2026 au 30/09/2027 (cleiss.fr, page d'octobre 2026, relevée le 01/11/2026) ; Caisses sociales de Monaco (caisses-sociales.mc).</t>
  </si>
  <si>
    <t xml:space="preserve">Maladie, maternité, famille CCSS – part salarié</t>
  </si>
  <si>
    <t xml:space="preserve">0 % : la cotisation CCSS (13,45 %) est entièrement à la charge de l'employeur. Cleiss, « Les cotisations à Monaco », taux du 01/10/2026 au 30/09/2027 (cleiss.fr, page d'octobre 2026, relevée le 01/11/2026) ; Caisses sociales de Monaco (caisses-sociales.mc).</t>
  </si>
  <si>
    <t xml:space="preserve">CSG-CRDS sur le salaire monégasque</t>
  </si>
  <si>
    <t xml:space="preserve">0 % pour un salarié affilié aux Caisses sociales de Monaco : la CSG-CRDS n'est due que par les personnes à la charge d'un régime français d'assurance maladie (art. L136-1 CSS). Vos autres revenus restent soumis aux prélèvements sociaux français.</t>
  </si>
  <si>
    <t xml:space="preserve">Prévoyance, mutuelle et divers (hypothèse)</t>
  </si>
  <si>
    <t xml:space="preserve">Hypothèse : selon votre contrat (voir votre fiche de paie).</t>
  </si>
  <si>
    <t xml:space="preserve">Barème de l'impôt sur le revenu en France (impôt 2026 sur les revenus 2025)</t>
  </si>
  <si>
    <t xml:space="preserve">Tranche</t>
  </si>
  <si>
    <t xml:space="preserve">À partir de (€ par part)</t>
  </si>
  <si>
    <t xml:space="preserve">Taux</t>
  </si>
  <si>
    <t xml:space="preserve">Incrément</t>
  </si>
  <si>
    <t xml:space="preserve">Tranche 0 %</t>
  </si>
  <si>
    <t xml:space="preserve">Loi de finances pour 2026, art. 4 (tranches revalorisées de 0,9 %) ; BOFiP BOI-IR-LIQ-20-10 du 07/04/2026 (legifiscal.fr, relevé le 01/11/2026).</t>
  </si>
  <si>
    <t xml:space="preserve">Tranche 11 %</t>
  </si>
  <si>
    <t xml:space="preserve">Le barème applicable aux revenus 2026 sera fixé par la loi de finances pour 2027 : mettez-le à jour dès sa publication.</t>
  </si>
  <si>
    <t xml:space="preserve">Tranche 30 %</t>
  </si>
  <si>
    <t xml:space="preserve">Tranche 41 %</t>
  </si>
  <si>
    <t xml:space="preserve">Tranche 45 %</t>
  </si>
  <si>
    <t xml:space="preserve">Plafond de l'avantage du quotient familial (par demi-part)</t>
  </si>
  <si>
    <t xml:space="preserve">BOFiP / legifiscal.fr, impôt 2026 (relevé le 01/11/2026).</t>
  </si>
  <si>
    <t xml:space="preserve">Abattement forfaitaire pour frais professionnels</t>
  </si>
  <si>
    <t xml:space="preserve">Art. 83 CGI : 10 % du salaire net imposable, sauf option pour les frais réels.</t>
  </si>
  <si>
    <t xml:space="preserve">Abattement 10 % – minimum</t>
  </si>
  <si>
    <t xml:space="preserve">Déclaration 2026 des revenus 2025 (weblex.fr, relevé le 01/11/2026).</t>
  </si>
  <si>
    <t xml:space="preserve">Abattement 10 % – maximum</t>
  </si>
  <si>
    <t xml:space="preserve">Déclaration 2026 des revenus 2025 (weblex.fr).</t>
  </si>
  <si>
    <t xml:space="preserve">Décote – plafond personne seule</t>
  </si>
  <si>
    <t xml:space="preserve">Impôt 2026 (legifiscal.fr) : décote = 897 € – 45,25 % de l'impôt.</t>
  </si>
  <si>
    <t xml:space="preserve">Décote – plafond couple</t>
  </si>
  <si>
    <t xml:space="preserve">Impôt 2026 (legifiscal.fr) : décote = 1 483 € – 45,25 % de l'impôt.</t>
  </si>
  <si>
    <t xml:space="preserve">Décote – coefficient</t>
  </si>
  <si>
    <t xml:space="preserve">Impôt 2026 (legifiscal.fr).</t>
  </si>
  <si>
    <t xml:space="preserve">Distance aller admise sans justificatif (frais réels)</t>
  </si>
  <si>
    <t xml:space="preserve">Au-delà de 40 km, l'éloignement doit être justifié (impots.gouv.fr, BOI-RSA-BASE-30-50-30-20).</t>
  </si>
  <si>
    <t xml:space="preserve">Taux d'endettement maximal des banques</t>
  </si>
  <si>
    <t xml:space="preserve">Norme HCSF, assurance emprunteur comprise.</t>
  </si>
  <si>
    <t xml:space="preserve">Frais d'achat (notaire, ancien)</t>
  </si>
  <si>
    <t xml:space="preserve">Ordre de grandeur pour un logement ancien ; environ 2 à 3 % dans le neuf.</t>
  </si>
  <si>
    <t xml:space="preserve">Mois de trajet par an (congés déduits)</t>
  </si>
  <si>
    <t xml:space="preserve">Hypothèse : abonnement et parking payés 11 mois par an.</t>
  </si>
  <si>
    <t xml:space="preserve">Barème kilométrique 2026 (voitures thermiques et hybrides)</t>
  </si>
  <si>
    <t xml:space="preserve">Puissance fiscale (CV)</t>
  </si>
  <si>
    <t xml:space="preserve">Jusqu'à 5 000 km (€/km)</t>
  </si>
  <si>
    <t xml:space="preserve">5 001-20 000 km (€/km)</t>
  </si>
  <si>
    <t xml:space="preserve">+ fixe (€)</t>
  </si>
  <si>
    <t xml:space="preserve">Au-delà de 20 000 km (€/km)</t>
  </si>
  <si>
    <t xml:space="preserve">Barème 2026 non revalorisé (service-public.gouv.fr, actualité du 09/04/2026, relevée le 01/11/2026). 3 = 3 CV et moins, 7 = 7 CV et plus ; +20 % pour une voiture électrique. Il couvre carburant, entretien, assurance et usure.</t>
  </si>
</sst>
</file>

<file path=xl/styles.xml><?xml version="1.0" encoding="utf-8"?>
<styleSheet xmlns="http://schemas.openxmlformats.org/spreadsheetml/2006/main">
  <numFmts count="15">
    <numFmt numFmtId="164" formatCode="General"/>
    <numFmt numFmtId="165" formatCode="#,##0&quot; €&quot;;\-#,##0&quot; €&quot;;\-"/>
    <numFmt numFmtId="166" formatCode="0"/>
    <numFmt numFmtId="167" formatCode="0&quot; km&quot;"/>
    <numFmt numFmtId="168" formatCode="0.0%;\-0.0%;\-"/>
    <numFmt numFmtId="169" formatCode="0&quot; min&quot;"/>
    <numFmt numFmtId="170" formatCode="0.00%"/>
    <numFmt numFmtId="171" formatCode="0.0"/>
    <numFmt numFmtId="172" formatCode="#,##0&quot; km&quot;"/>
    <numFmt numFmtId="173" formatCode="#,##0&quot; h&quot;"/>
    <numFmt numFmtId="174" formatCode="#,##0&quot; m²&quot;"/>
    <numFmt numFmtId="175" formatCode="0.000%"/>
    <numFmt numFmtId="176" formatCode="#,##0&quot; €&quot;"/>
    <numFmt numFmtId="177" formatCode="0.000"/>
    <numFmt numFmtId="178" formatCode="#,##0"/>
  </numFmts>
  <fonts count="13">
    <font>
      <sz val="11"/>
      <color theme="1"/>
      <name val="Calibri"/>
      <family val="2"/>
      <charset val="1"/>
    </font>
    <font>
      <sz val="10"/>
      <name val="Arial"/>
      <family val="0"/>
    </font>
    <font>
      <sz val="10"/>
      <name val="Arial"/>
      <family val="0"/>
    </font>
    <font>
      <sz val="10"/>
      <name val="Arial"/>
      <family val="0"/>
    </font>
    <font>
      <b val="true"/>
      <sz val="20"/>
      <color rgb="FF1F3A5F"/>
      <name val="Arial"/>
      <family val="0"/>
      <charset val="1"/>
    </font>
    <font>
      <b val="true"/>
      <sz val="10"/>
      <name val="Arial"/>
      <family val="0"/>
      <charset val="1"/>
    </font>
    <font>
      <i val="true"/>
      <sz val="9"/>
      <color rgb="FF555555"/>
      <name val="Arial"/>
      <family val="0"/>
      <charset val="1"/>
    </font>
    <font>
      <b val="true"/>
      <sz val="12"/>
      <color rgb="FF1F3A5F"/>
      <name val="Arial"/>
      <family val="0"/>
      <charset val="1"/>
    </font>
    <font>
      <sz val="10"/>
      <name val="Arial"/>
      <family val="0"/>
      <charset val="1"/>
    </font>
    <font>
      <b val="true"/>
      <sz val="16"/>
      <color rgb="FF1F3A5F"/>
      <name val="Arial"/>
      <family val="0"/>
      <charset val="1"/>
    </font>
    <font>
      <b val="true"/>
      <sz val="11"/>
      <color rgb="FFFFFFFF"/>
      <name val="Arial"/>
      <family val="0"/>
      <charset val="1"/>
    </font>
    <font>
      <b val="true"/>
      <sz val="10"/>
      <color rgb="FF0000FF"/>
      <name val="Arial"/>
      <family val="0"/>
      <charset val="1"/>
    </font>
    <font>
      <b val="true"/>
      <sz val="10"/>
      <color rgb="FFB00020"/>
      <name val="Arial"/>
      <family val="0"/>
      <charset val="1"/>
    </font>
  </fonts>
  <fills count="6">
    <fill>
      <patternFill patternType="none"/>
    </fill>
    <fill>
      <patternFill patternType="gray125"/>
    </fill>
    <fill>
      <patternFill patternType="solid">
        <fgColor rgb="FFFDECEA"/>
        <bgColor rgb="FFFFFFFF"/>
      </patternFill>
    </fill>
    <fill>
      <patternFill patternType="solid">
        <fgColor rgb="FF1F3A5F"/>
        <bgColor rgb="FF333333"/>
      </patternFill>
    </fill>
    <fill>
      <patternFill patternType="solid">
        <fgColor rgb="FFFFF59D"/>
        <bgColor rgb="FFFDECEA"/>
      </patternFill>
    </fill>
    <fill>
      <patternFill patternType="solid">
        <fgColor rgb="FFE3F2FD"/>
        <bgColor rgb="FFCCFFFF"/>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5" fontId="11" fillId="4" borderId="1" xfId="0" applyFont="true" applyBorder="true" applyAlignment="false" applyProtection="true">
      <alignment horizontal="general" vertical="bottom" textRotation="0" wrapText="false" indent="0" shrinkToFit="false"/>
      <protection locked="false" hidden="false"/>
    </xf>
    <xf numFmtId="166" fontId="11" fillId="4" borderId="1" xfId="0" applyFont="true" applyBorder="true" applyAlignment="false" applyProtection="true">
      <alignment horizontal="general" vertical="bottom" textRotation="0" wrapText="false" indent="0" shrinkToFit="false"/>
      <protection locked="false" hidden="false"/>
    </xf>
    <xf numFmtId="164" fontId="11" fillId="4" borderId="1" xfId="0" applyFont="true" applyBorder="true" applyAlignment="false" applyProtection="true">
      <alignment horizontal="general" vertical="bottom" textRotation="0" wrapText="false" indent="0" shrinkToFit="false"/>
      <protection locked="false" hidden="false"/>
    </xf>
    <xf numFmtId="167" fontId="11" fillId="4" borderId="1" xfId="0" applyFont="true" applyBorder="true" applyAlignment="false" applyProtection="true">
      <alignment horizontal="general" vertical="bottom" textRotation="0" wrapText="false" indent="0" shrinkToFit="false"/>
      <protection locked="false" hidden="false"/>
    </xf>
    <xf numFmtId="168" fontId="11" fillId="4" borderId="1" xfId="0" applyFont="true" applyBorder="true" applyAlignment="false" applyProtection="true">
      <alignment horizontal="general" vertical="bottom" textRotation="0" wrapText="false" indent="0" shrinkToFit="false"/>
      <protection locked="false" hidden="false"/>
    </xf>
    <xf numFmtId="169" fontId="11" fillId="4" borderId="1" xfId="0" applyFont="true" applyBorder="true" applyAlignment="false" applyProtection="true">
      <alignment horizontal="general" vertical="bottom" textRotation="0" wrapText="false" indent="0" shrinkToFit="false"/>
      <protection locked="false" hidden="false"/>
    </xf>
    <xf numFmtId="170" fontId="11" fillId="4" borderId="1" xfId="0" applyFont="true" applyBorder="true" applyAlignment="false" applyProtection="true">
      <alignment horizontal="general" vertical="bottom" textRotation="0" wrapText="false" indent="0" shrinkToFit="false"/>
      <protection locked="fals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5" borderId="0" xfId="0" applyFont="true" applyBorder="false" applyAlignment="false" applyProtection="false">
      <alignment horizontal="general" vertical="bottom" textRotation="0" wrapText="false" indent="0" shrinkToFit="false"/>
      <protection locked="true" hidden="false"/>
    </xf>
    <xf numFmtId="165" fontId="7" fillId="5"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top" textRotation="0" wrapText="true" indent="0" shrinkToFit="false"/>
      <protection locked="true" hidden="false"/>
    </xf>
    <xf numFmtId="172" fontId="8" fillId="0" borderId="0" xfId="0" applyFont="true" applyBorder="false" applyAlignment="false" applyProtection="false">
      <alignment horizontal="general" vertical="bottom" textRotation="0" wrapText="false" indent="0" shrinkToFit="false"/>
      <protection locked="true" hidden="false"/>
    </xf>
    <xf numFmtId="164" fontId="7" fillId="5" borderId="0" xfId="0" applyFont="true" applyBorder="false" applyAlignment="false" applyProtection="false">
      <alignment horizontal="general" vertical="bottom" textRotation="0" wrapText="false" indent="0" shrinkToFit="false"/>
      <protection locked="true" hidden="false"/>
    </xf>
    <xf numFmtId="173" fontId="8" fillId="0" borderId="0" xfId="0" applyFont="true" applyBorder="false" applyAlignment="false" applyProtection="false">
      <alignment horizontal="general" vertical="bottom" textRotation="0" wrapText="false" indent="0" shrinkToFit="false"/>
      <protection locked="true" hidden="false"/>
    </xf>
    <xf numFmtId="173" fontId="7" fillId="5" borderId="0" xfId="0" applyFont="true" applyBorder="false" applyAlignment="false" applyProtection="false">
      <alignment horizontal="general" vertical="bottom" textRotation="0" wrapText="false" indent="0" shrinkToFit="false"/>
      <protection locked="true" hidden="false"/>
    </xf>
    <xf numFmtId="164" fontId="7" fillId="5" borderId="0" xfId="0" applyFont="true" applyBorder="true" applyAlignment="true" applyProtection="false">
      <alignment horizontal="general" vertical="top" textRotation="0" wrapText="tru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74" fontId="7" fillId="5" borderId="0" xfId="0" applyFont="true" applyBorder="false" applyAlignment="false" applyProtection="false">
      <alignment horizontal="general" vertical="bottom" textRotation="0" wrapText="false" indent="0" shrinkToFit="false"/>
      <protection locked="true" hidden="false"/>
    </xf>
    <xf numFmtId="175" fontId="11" fillId="4" borderId="1" xfId="0" applyFont="true" applyBorder="true" applyAlignment="false" applyProtection="true">
      <alignment horizontal="general" vertical="bottom" textRotation="0" wrapText="false" indent="0" shrinkToFit="false"/>
      <protection locked="false" hidden="false"/>
    </xf>
    <xf numFmtId="176" fontId="11" fillId="4" borderId="1" xfId="0" applyFont="true" applyBorder="true" applyAlignment="false" applyProtection="true">
      <alignment horizontal="general" vertical="bottom" textRotation="0" wrapText="false" indent="0" shrinkToFit="false"/>
      <protection locked="fals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77" fontId="11" fillId="4" borderId="1" xfId="0" applyFont="true" applyBorder="true" applyAlignment="false" applyProtection="true">
      <alignment horizontal="general" vertical="bottom" textRotation="0" wrapText="false" indent="0" shrinkToFit="false"/>
      <protection locked="false" hidden="false"/>
    </xf>
    <xf numFmtId="178" fontId="11" fillId="4" borderId="1" xfId="0" applyFont="true" applyBorder="true" applyAlignment="false" applyProtection="true">
      <alignment horizontal="general" vertical="bottom"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BBBBBB"/>
      <rgbColor rgb="FF808080"/>
      <rgbColor rgb="FF9999FF"/>
      <rgbColor rgb="FF993366"/>
      <rgbColor rgb="FFFDECEA"/>
      <rgbColor rgb="FFE3F2F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59D"/>
      <rgbColor rgb="FF99CCFF"/>
      <rgbColor rgb="FFFF99CC"/>
      <rgbColor rgb="FFCC99FF"/>
      <rgbColor rgb="FFFFCC99"/>
      <rgbColor rgb="FF3366FF"/>
      <rgbColor rgb="FF33CCCC"/>
      <rgbColor rgb="FF99CC00"/>
      <rgbColor rgb="FFFFCC00"/>
      <rgbColor rgb="FFFF9900"/>
      <rgbColor rgb="FFFF6600"/>
      <rgbColor rgb="FF55555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4.4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t="s">
        <v>2</v>
      </c>
    </row>
    <row r="5" customFormat="false" ht="15" hidden="false" customHeight="false" outlineLevel="0" collapsed="false">
      <c r="B5" s="4" t="s">
        <v>3</v>
      </c>
    </row>
    <row r="6" customFormat="false" ht="15" hidden="false" customHeight="false" outlineLevel="0" collapsed="false">
      <c r="B6" s="5" t="s">
        <v>4</v>
      </c>
    </row>
    <row r="7" customFormat="false" ht="15" hidden="false" customHeight="false" outlineLevel="0" collapsed="false">
      <c r="B7" s="5" t="s">
        <v>5</v>
      </c>
    </row>
    <row r="8" customFormat="false" ht="15" hidden="false" customHeight="false" outlineLevel="0" collapsed="false">
      <c r="B8" s="5" t="s">
        <v>6</v>
      </c>
    </row>
    <row r="9" customFormat="false" ht="15" hidden="false" customHeight="false" outlineLevel="0" collapsed="false">
      <c r="B9" s="5" t="s">
        <v>7</v>
      </c>
    </row>
    <row r="10" customFormat="false" ht="15" hidden="false" customHeight="false" outlineLevel="0" collapsed="false">
      <c r="B10" s="5" t="s">
        <v>8</v>
      </c>
    </row>
    <row r="11" customFormat="false" ht="15" hidden="false" customHeight="false" outlineLevel="0" collapsed="false">
      <c r="B11" s="5"/>
    </row>
    <row r="12" customFormat="false" ht="15" hidden="false" customHeight="false" outlineLevel="0" collapsed="false">
      <c r="B12" s="4" t="s">
        <v>9</v>
      </c>
    </row>
    <row r="13" customFormat="false" ht="15" hidden="false" customHeight="false" outlineLevel="0" collapsed="false">
      <c r="B13" s="5" t="s">
        <v>10</v>
      </c>
    </row>
    <row r="14" customFormat="false" ht="15" hidden="false" customHeight="false" outlineLevel="0" collapsed="false">
      <c r="B14" s="5" t="s">
        <v>11</v>
      </c>
    </row>
    <row r="15" customFormat="false" ht="15" hidden="false" customHeight="false" outlineLevel="0" collapsed="false">
      <c r="B15" s="5" t="s">
        <v>12</v>
      </c>
    </row>
    <row r="16" customFormat="false" ht="15" hidden="false" customHeight="false" outlineLevel="0" collapsed="false">
      <c r="B16" s="3" t="s">
        <v>13</v>
      </c>
    </row>
    <row r="17" customFormat="false" ht="15" hidden="false" customHeight="false" outlineLevel="0" collapsed="false">
      <c r="B17" s="5"/>
    </row>
    <row r="18" customFormat="false" ht="15" hidden="false" customHeight="false" outlineLevel="0" collapsed="false">
      <c r="B18" s="4" t="s">
        <v>14</v>
      </c>
    </row>
    <row r="19" customFormat="false" ht="114.75" hidden="false" customHeight="true" outlineLevel="0" collapsed="false">
      <c r="B19" s="6" t="s">
        <v>15</v>
      </c>
    </row>
    <row r="21" customFormat="false" ht="15" hidden="false" customHeight="false" outlineLevel="0" collapsed="false">
      <c r="B21" s="4" t="s">
        <v>16</v>
      </c>
    </row>
    <row r="22" customFormat="false" ht="15" hidden="false" customHeight="false" outlineLevel="0" collapsed="false">
      <c r="B22" s="5" t="s">
        <v>17</v>
      </c>
    </row>
    <row r="23" customFormat="false" ht="15" hidden="false" customHeight="false" outlineLevel="0" collapsed="false">
      <c r="B23" s="5" t="s">
        <v>18</v>
      </c>
    </row>
    <row r="24" customFormat="false" ht="15" hidden="false" customHeight="false" outlineLevel="0" collapsed="false">
      <c r="B24" s="5" t="s">
        <v>19</v>
      </c>
    </row>
    <row r="25" customFormat="false" ht="15" hidden="false" customHeight="false" outlineLevel="0" collapsed="false">
      <c r="B25" s="5" t="s">
        <v>20</v>
      </c>
    </row>
    <row r="26" customFormat="false" ht="15" hidden="false" customHeight="false" outlineLevel="0" collapsed="false">
      <c r="B26" s="5" t="s">
        <v>21</v>
      </c>
    </row>
    <row r="27" customFormat="false" ht="15" hidden="false" customHeight="false" outlineLevel="0" collapsed="false">
      <c r="B27" s="5" t="s">
        <v>22</v>
      </c>
    </row>
    <row r="29" customFormat="false" ht="15" hidden="false" customHeight="false" outlineLevel="0" collapsed="false">
      <c r="B29" s="2" t="s">
        <v>23</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8"/>
    <col collapsed="false" customWidth="true" hidden="false" outlineLevel="0" max="3" min="3" style="0" width="22"/>
    <col collapsed="false" customWidth="true" hidden="false" outlineLevel="0" max="4" min="4" style="0" width="80"/>
  </cols>
  <sheetData>
    <row r="1" customFormat="false" ht="19.7" hidden="false" customHeight="false" outlineLevel="0" collapsed="false">
      <c r="B1" s="7" t="s">
        <v>24</v>
      </c>
    </row>
    <row r="2" customFormat="false" ht="15" hidden="false" customHeight="false" outlineLevel="0" collapsed="false">
      <c r="B2" s="3" t="s">
        <v>25</v>
      </c>
    </row>
    <row r="4" customFormat="false" ht="15" hidden="false" customHeight="false" outlineLevel="0" collapsed="false">
      <c r="A4" s="8"/>
      <c r="B4" s="8" t="s">
        <v>26</v>
      </c>
      <c r="C4" s="8" t="s">
        <v>27</v>
      </c>
      <c r="D4" s="8" t="s">
        <v>28</v>
      </c>
    </row>
    <row r="5" customFormat="false" ht="15" hidden="false" customHeight="false" outlineLevel="0" collapsed="false">
      <c r="B5" s="5" t="s">
        <v>29</v>
      </c>
      <c r="C5" s="9" t="n">
        <v>3500</v>
      </c>
      <c r="D5" s="3" t="s">
        <v>30</v>
      </c>
    </row>
    <row r="6" customFormat="false" ht="15" hidden="false" customHeight="false" outlineLevel="0" collapsed="false">
      <c r="B6" s="5" t="s">
        <v>31</v>
      </c>
      <c r="C6" s="10" t="n">
        <v>13</v>
      </c>
      <c r="D6" s="3" t="s">
        <v>32</v>
      </c>
    </row>
    <row r="7" customFormat="false" ht="15" hidden="false" customHeight="false" outlineLevel="0" collapsed="false">
      <c r="B7" s="5" t="s">
        <v>33</v>
      </c>
      <c r="C7" s="11" t="s">
        <v>34</v>
      </c>
      <c r="D7" s="3" t="s">
        <v>35</v>
      </c>
    </row>
    <row r="8" customFormat="false" ht="15" hidden="false" customHeight="false" outlineLevel="0" collapsed="false">
      <c r="B8" s="5" t="s">
        <v>36</v>
      </c>
      <c r="C8" s="10" t="n">
        <v>0</v>
      </c>
      <c r="D8" s="3" t="s">
        <v>37</v>
      </c>
    </row>
    <row r="9" customFormat="false" ht="15" hidden="false" customHeight="false" outlineLevel="0" collapsed="false">
      <c r="B9" s="5" t="s">
        <v>38</v>
      </c>
      <c r="C9" s="9" t="n">
        <v>0</v>
      </c>
      <c r="D9" s="3" t="s">
        <v>39</v>
      </c>
    </row>
    <row r="10" customFormat="false" ht="15" hidden="false" customHeight="false" outlineLevel="0" collapsed="false">
      <c r="B10" s="5" t="s">
        <v>40</v>
      </c>
      <c r="C10" s="11" t="s">
        <v>41</v>
      </c>
      <c r="D10" s="3" t="s">
        <v>42</v>
      </c>
    </row>
    <row r="11" customFormat="false" ht="15" hidden="false" customHeight="false" outlineLevel="0" collapsed="false">
      <c r="B11" s="5" t="s">
        <v>43</v>
      </c>
      <c r="C11" s="12" t="n">
        <v>10</v>
      </c>
      <c r="D11" s="3"/>
    </row>
    <row r="12" customFormat="false" ht="15" hidden="false" customHeight="false" outlineLevel="0" collapsed="false">
      <c r="B12" s="5" t="s">
        <v>44</v>
      </c>
      <c r="C12" s="10" t="n">
        <v>210</v>
      </c>
      <c r="D12" s="3" t="s">
        <v>45</v>
      </c>
    </row>
    <row r="13" customFormat="false" ht="15" hidden="false" customHeight="false" outlineLevel="0" collapsed="false">
      <c r="B13" s="5" t="s">
        <v>46</v>
      </c>
      <c r="C13" s="11" t="s">
        <v>47</v>
      </c>
      <c r="D13" s="3" t="s">
        <v>48</v>
      </c>
    </row>
    <row r="14" customFormat="false" ht="15" hidden="false" customHeight="false" outlineLevel="0" collapsed="false">
      <c r="B14" s="5" t="s">
        <v>49</v>
      </c>
      <c r="C14" s="9" t="n">
        <v>50</v>
      </c>
      <c r="D14" s="3" t="s">
        <v>50</v>
      </c>
    </row>
    <row r="15" customFormat="false" ht="15" hidden="false" customHeight="false" outlineLevel="0" collapsed="false">
      <c r="B15" s="5" t="s">
        <v>51</v>
      </c>
      <c r="C15" s="13" t="n">
        <v>0</v>
      </c>
      <c r="D15" s="3" t="s">
        <v>52</v>
      </c>
    </row>
    <row r="16" customFormat="false" ht="15" hidden="false" customHeight="false" outlineLevel="0" collapsed="false">
      <c r="B16" s="5" t="s">
        <v>53</v>
      </c>
      <c r="C16" s="14" t="n">
        <v>30</v>
      </c>
      <c r="D16" s="3"/>
    </row>
    <row r="17" customFormat="false" ht="15" hidden="false" customHeight="false" outlineLevel="0" collapsed="false">
      <c r="B17" s="5" t="s">
        <v>54</v>
      </c>
      <c r="C17" s="10" t="n">
        <v>5</v>
      </c>
      <c r="D17" s="3" t="s">
        <v>55</v>
      </c>
    </row>
    <row r="18" customFormat="false" ht="15" hidden="false" customHeight="false" outlineLevel="0" collapsed="false">
      <c r="B18" s="5" t="s">
        <v>56</v>
      </c>
      <c r="C18" s="9" t="n">
        <v>120</v>
      </c>
      <c r="D18" s="3" t="s">
        <v>57</v>
      </c>
    </row>
    <row r="19" customFormat="false" ht="15" hidden="false" customHeight="false" outlineLevel="0" collapsed="false">
      <c r="B19" s="5" t="s">
        <v>58</v>
      </c>
      <c r="C19" s="9" t="n">
        <v>0</v>
      </c>
      <c r="D19" s="3"/>
    </row>
    <row r="20" customFormat="false" ht="15" hidden="false" customHeight="false" outlineLevel="0" collapsed="false">
      <c r="B20" s="5" t="s">
        <v>59</v>
      </c>
      <c r="C20" s="14" t="n">
        <v>45</v>
      </c>
      <c r="D20" s="3" t="s">
        <v>60</v>
      </c>
    </row>
    <row r="21" customFormat="false" ht="15" hidden="false" customHeight="false" outlineLevel="0" collapsed="false">
      <c r="B21" s="5" t="s">
        <v>61</v>
      </c>
      <c r="C21" s="9" t="n">
        <v>0</v>
      </c>
      <c r="D21" s="3" t="s">
        <v>62</v>
      </c>
    </row>
    <row r="22" customFormat="false" ht="15" hidden="false" customHeight="false" outlineLevel="0" collapsed="false">
      <c r="B22" s="5" t="s">
        <v>63</v>
      </c>
      <c r="C22" s="9" t="n">
        <v>5000</v>
      </c>
      <c r="D22" s="3" t="s">
        <v>64</v>
      </c>
    </row>
    <row r="23" customFormat="false" ht="15" hidden="false" customHeight="false" outlineLevel="0" collapsed="false">
      <c r="B23" s="5" t="s">
        <v>65</v>
      </c>
      <c r="C23" s="9" t="n">
        <v>20000</v>
      </c>
      <c r="D23" s="3"/>
    </row>
    <row r="24" customFormat="false" ht="15" hidden="false" customHeight="false" outlineLevel="0" collapsed="false">
      <c r="B24" s="5" t="s">
        <v>66</v>
      </c>
      <c r="C24" s="9" t="n">
        <v>0</v>
      </c>
      <c r="D24" s="3" t="s">
        <v>67</v>
      </c>
    </row>
    <row r="25" customFormat="false" ht="15" hidden="false" customHeight="false" outlineLevel="0" collapsed="false">
      <c r="B25" s="5" t="s">
        <v>68</v>
      </c>
      <c r="C25" s="15" t="n">
        <v>0.0385</v>
      </c>
      <c r="D25" s="3" t="s">
        <v>69</v>
      </c>
    </row>
    <row r="26" customFormat="false" ht="15" hidden="false" customHeight="false" outlineLevel="0" collapsed="false">
      <c r="B26" s="5" t="s">
        <v>70</v>
      </c>
      <c r="C26" s="10" t="n">
        <v>25</v>
      </c>
      <c r="D26" s="3" t="s">
        <v>71</v>
      </c>
    </row>
    <row r="28" customFormat="false" ht="15" hidden="false" customHeight="false" outlineLevel="0" collapsed="false">
      <c r="B28" s="2" t="s">
        <v>72</v>
      </c>
    </row>
    <row r="29" customFormat="false" ht="15" hidden="false" customHeight="false" outlineLevel="0" collapsed="false">
      <c r="B29" s="3" t="s">
        <v>73</v>
      </c>
    </row>
  </sheetData>
  <sheetProtection sheet="true" formatColumns="false" formatRows="false"/>
  <dataValidations count="8">
    <dataValidation allowBlank="false" errorStyle="stop" operator="between" showDropDown="false" showErrorMessage="false" showInputMessage="false" sqref="C7" type="list">
      <formula1>"Seul,En couple"</formula1>
      <formula2>0</formula2>
    </dataValidation>
    <dataValidation allowBlank="false" errorStyle="stop" operator="between" showDropDown="false" showErrorMessage="false" showInputMessage="false" sqref="C13" type="list">
      <formula1>"Train,Voiture"</formula1>
      <formula2>0</formula2>
    </dataValidation>
    <dataValidation allowBlank="false" errorStyle="stop" operator="between" showDropDown="false" showErrorMessage="false" showInputMessage="false" sqref="C17" type="list">
      <formula1>"3,4,5,6,7"</formula1>
      <formula2>0</formula2>
    </dataValidation>
    <dataValidation allowBlank="true" errorStyle="stop" operator="between" showDropDown="false" showErrorMessage="false" showInputMessage="false" sqref="C15" type="decimal">
      <formula1>0</formula1>
      <formula2>1</formula2>
    </dataValidation>
    <dataValidation allowBlank="true" errorStyle="stop" operator="between" showDropDown="false" showErrorMessage="false" showInputMessage="false" sqref="C25" type="decimal">
      <formula1>0</formula1>
      <formula2>0.2</formula2>
    </dataValidation>
    <dataValidation allowBlank="true" errorStyle="stop" operator="between" showDropDown="false" showErrorMessage="false" showInputMessage="false" sqref="C6" type="decimal">
      <formula1>12</formula1>
      <formula2>15</formula2>
    </dataValidation>
    <dataValidation allowBlank="false" errorStyle="stop" operator="between" showDropDown="false" showErrorMessage="false" showInputMessage="false" sqref="C8" type="whole">
      <formula1>0</formula1>
      <formula2>12</formula2>
    </dataValidation>
    <dataValidation allowBlank="false" errorStyle="stop" operator="between" showDropDown="false" showErrorMessage="false" showInputMessage="false" sqref="C26" type="whole">
      <formula1>1</formula1>
      <formula2>30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2"/>
    <col collapsed="false" customWidth="true" hidden="false" outlineLevel="0" max="3" min="3" style="0" width="20"/>
    <col collapsed="false" customWidth="true" hidden="false" outlineLevel="0" max="4" min="4" style="0" width="70"/>
  </cols>
  <sheetData>
    <row r="1" customFormat="false" ht="19.7" hidden="false" customHeight="false" outlineLevel="0" collapsed="false">
      <c r="B1" s="7" t="s">
        <v>74</v>
      </c>
    </row>
    <row r="2" customFormat="false" ht="15" hidden="false" customHeight="false" outlineLevel="0" collapsed="false">
      <c r="B2" s="3" t="s">
        <v>75</v>
      </c>
    </row>
    <row r="4" customFormat="false" ht="15" hidden="false" customHeight="false" outlineLevel="0" collapsed="false">
      <c r="B4" s="4" t="s">
        <v>76</v>
      </c>
    </row>
    <row r="5" customFormat="false" ht="15" hidden="false" customHeight="false" outlineLevel="0" collapsed="false">
      <c r="B5" s="2" t="s">
        <v>77</v>
      </c>
      <c r="C5" s="16" t="n">
        <f aca="false">'Vos chiffres'!C5*'Vos chiffres'!C6</f>
        <v>45500</v>
      </c>
    </row>
    <row r="6" customFormat="false" ht="15" hidden="false" customHeight="false" outlineLevel="0" collapsed="false">
      <c r="B6" s="5" t="s">
        <v>78</v>
      </c>
      <c r="C6" s="17" t="n">
        <f aca="false">-MIN(C5,12*Paramètres!$B$5)*Paramètres!$B$4</f>
        <v>-3116.75</v>
      </c>
      <c r="D6" s="18" t="s">
        <v>79</v>
      </c>
    </row>
    <row r="7" customFormat="false" ht="15" hidden="false" customHeight="false" outlineLevel="0" collapsed="false">
      <c r="B7" s="5" t="s">
        <v>80</v>
      </c>
      <c r="C7" s="17" t="n">
        <f aca="false">-MIN(C5,12*Paramètres!$B$7)*Paramètres!$B$6</f>
        <v>-1092</v>
      </c>
    </row>
    <row r="8" customFormat="false" ht="15" hidden="false" customHeight="false" outlineLevel="0" collapsed="false">
      <c r="B8" s="5" t="s">
        <v>81</v>
      </c>
      <c r="C8" s="17" t="n">
        <f aca="false">-MIN(C5,12*Paramètres!$B$9)*Paramètres!$B$8</f>
        <v>-2214.94</v>
      </c>
    </row>
    <row r="9" customFormat="false" ht="15" hidden="false" customHeight="false" outlineLevel="0" collapsed="false">
      <c r="B9" s="5" t="s">
        <v>82</v>
      </c>
      <c r="C9" s="17" t="n">
        <f aca="false">-MAX(0,MIN(C5,12*Paramètres!$B$11)-12*Paramètres!$B$9)*Paramètres!$B$10</f>
        <v>-0</v>
      </c>
    </row>
    <row r="10" customFormat="false" ht="15" hidden="false" customHeight="false" outlineLevel="0" collapsed="false">
      <c r="B10" s="5" t="s">
        <v>83</v>
      </c>
      <c r="C10" s="17" t="n">
        <f aca="false">-C5*Paramètres!$B$12</f>
        <v>-0</v>
      </c>
      <c r="D10" s="18" t="s">
        <v>84</v>
      </c>
    </row>
    <row r="11" customFormat="false" ht="15" hidden="false" customHeight="false" outlineLevel="0" collapsed="false">
      <c r="B11" s="5" t="s">
        <v>85</v>
      </c>
      <c r="C11" s="17" t="n">
        <f aca="false">-C5*Paramètres!$B$13</f>
        <v>-0</v>
      </c>
      <c r="D11" s="18" t="s">
        <v>86</v>
      </c>
    </row>
    <row r="12" customFormat="false" ht="15" hidden="false" customHeight="false" outlineLevel="0" collapsed="false">
      <c r="B12" s="5" t="s">
        <v>87</v>
      </c>
      <c r="C12" s="17" t="n">
        <f aca="false">-C5*Paramètres!$B$14</f>
        <v>-455</v>
      </c>
    </row>
    <row r="13" customFormat="false" ht="15" hidden="false" customHeight="false" outlineLevel="0" collapsed="false">
      <c r="B13" s="2" t="s">
        <v>88</v>
      </c>
      <c r="C13" s="16" t="n">
        <f aca="false">SUM(C6:C12)</f>
        <v>-6878.69</v>
      </c>
    </row>
    <row r="14" customFormat="false" ht="15" hidden="false" customHeight="false" outlineLevel="0" collapsed="false">
      <c r="B14" s="19" t="s">
        <v>89</v>
      </c>
      <c r="C14" s="20" t="n">
        <f aca="false">C5+C13</f>
        <v>38621.31</v>
      </c>
    </row>
    <row r="15" customFormat="false" ht="15" hidden="false" customHeight="false" outlineLevel="0" collapsed="false">
      <c r="B15" s="19" t="s">
        <v>90</v>
      </c>
      <c r="C15" s="20" t="n">
        <f aca="false">C14/12</f>
        <v>3218.4425</v>
      </c>
    </row>
    <row r="17" customFormat="false" ht="15" hidden="false" customHeight="false" outlineLevel="0" collapsed="false">
      <c r="B17" s="4" t="s">
        <v>91</v>
      </c>
    </row>
    <row r="18" customFormat="false" ht="15" hidden="false" customHeight="false" outlineLevel="0" collapsed="false">
      <c r="B18" s="5" t="s">
        <v>92</v>
      </c>
      <c r="C18" s="17" t="n">
        <f aca="false">C14</f>
        <v>38621.31</v>
      </c>
    </row>
    <row r="19" customFormat="false" ht="15" hidden="false" customHeight="false" outlineLevel="0" collapsed="false">
      <c r="B19" s="5" t="s">
        <v>93</v>
      </c>
      <c r="C19" s="17" t="n">
        <f aca="false">MIN(MAX(C18*Paramètres!$B$25,Paramètres!$B$26),Paramètres!$B$27)</f>
        <v>3862.131</v>
      </c>
    </row>
    <row r="20" customFormat="false" ht="15" hidden="false" customHeight="false" outlineLevel="0" collapsed="false">
      <c r="B20" s="5" t="s">
        <v>94</v>
      </c>
      <c r="C20" s="17" t="n">
        <f aca="false">'Train ou voiture'!C15</f>
        <v>550</v>
      </c>
      <c r="D20" s="18" t="s">
        <v>95</v>
      </c>
    </row>
    <row r="21" customFormat="false" ht="15" hidden="false" customHeight="false" outlineLevel="0" collapsed="false">
      <c r="B21" s="2" t="s">
        <v>96</v>
      </c>
      <c r="C21" s="16" t="n">
        <f aca="false">MAX(C19,C20)</f>
        <v>3862.131</v>
      </c>
    </row>
    <row r="22" customFormat="false" ht="15" hidden="false" customHeight="false" outlineLevel="0" collapsed="false">
      <c r="B22" s="2" t="s">
        <v>97</v>
      </c>
      <c r="C22" s="2" t="str">
        <f aca="false">IF(C20&gt;C19,"Frais réels","Abattement de 10 %")</f>
        <v>Abattement de 10 %</v>
      </c>
      <c r="D22" s="18" t="s">
        <v>98</v>
      </c>
    </row>
    <row r="23" customFormat="false" ht="15" hidden="false" customHeight="false" outlineLevel="0" collapsed="false">
      <c r="B23" s="5" t="s">
        <v>99</v>
      </c>
      <c r="C23" s="17" t="n">
        <f aca="false">C18-C21</f>
        <v>34759.179</v>
      </c>
    </row>
    <row r="24" customFormat="false" ht="15" hidden="false" customHeight="false" outlineLevel="0" collapsed="false">
      <c r="B24" s="2" t="s">
        <v>100</v>
      </c>
      <c r="C24" s="16" t="n">
        <f aca="false">C23+'Vos chiffres'!C9</f>
        <v>34759.179</v>
      </c>
    </row>
    <row r="25" customFormat="false" ht="15" hidden="false" customHeight="false" outlineLevel="0" collapsed="false">
      <c r="B25" s="5" t="s">
        <v>101</v>
      </c>
      <c r="C25" s="21" t="n">
        <f aca="false">IF('Vos chiffres'!C7="En couple",2,1)</f>
        <v>1</v>
      </c>
    </row>
    <row r="26" customFormat="false" ht="22.35" hidden="false" customHeight="false" outlineLevel="0" collapsed="false">
      <c r="B26" s="5" t="s">
        <v>102</v>
      </c>
      <c r="C26" s="21" t="n">
        <f aca="false">C25+IF('Vos chiffres'!C8&lt;=2,'Vos chiffres'!C8*0.5,1+('Vos chiffres'!C8-2))</f>
        <v>1</v>
      </c>
      <c r="D26" s="18" t="s">
        <v>103</v>
      </c>
    </row>
    <row r="27" customFormat="false" ht="15" hidden="false" customHeight="false" outlineLevel="0" collapsed="false">
      <c r="B27" s="5" t="s">
        <v>104</v>
      </c>
      <c r="C27" s="17" t="n">
        <f aca="false">IF(C26&lt;=0,0,C26*SUMPRODUCT((C24/C26&gt;Paramètres!$B$18:$B$22)*(C24/C26-Paramètres!$B$18:$B$22)*Paramètres!$D$18:$D$22))</f>
        <v>3531.7437</v>
      </c>
    </row>
    <row r="28" customFormat="false" ht="15" hidden="false" customHeight="false" outlineLevel="0" collapsed="false">
      <c r="B28" s="5" t="s">
        <v>105</v>
      </c>
      <c r="C28" s="17" t="n">
        <f aca="false">IF(C25&lt;=0,0,C25*SUMPRODUCT((C24/C25&gt;Paramètres!$B$18:$B$22)*(C24/C25-Paramètres!$B$18:$B$22)*Paramètres!$D$18:$D$22))</f>
        <v>3531.7437</v>
      </c>
    </row>
    <row r="29" customFormat="false" ht="15" hidden="false" customHeight="false" outlineLevel="0" collapsed="false">
      <c r="B29" s="5" t="s">
        <v>106</v>
      </c>
      <c r="C29" s="17" t="n">
        <f aca="false">MAX(C27,C28-MAX(0,C26-C25)*2*Paramètres!$B$24)</f>
        <v>3531.7437</v>
      </c>
      <c r="D29" s="18" t="s">
        <v>107</v>
      </c>
    </row>
    <row r="30" customFormat="false" ht="15" hidden="false" customHeight="false" outlineLevel="0" collapsed="false">
      <c r="B30" s="5" t="s">
        <v>108</v>
      </c>
      <c r="C30" s="17" t="n">
        <f aca="false">-MIN(C29,MAX(0,IF('Vos chiffres'!C7="En couple",Paramètres!$B$29,Paramètres!$B$28)-Paramètres!$B$30*C29))</f>
        <v>-0</v>
      </c>
    </row>
    <row r="31" customFormat="false" ht="15" hidden="false" customHeight="false" outlineLevel="0" collapsed="false">
      <c r="B31" s="19" t="s">
        <v>109</v>
      </c>
      <c r="C31" s="20" t="n">
        <f aca="false">MAX(0,C29+C30)</f>
        <v>3531.7437</v>
      </c>
    </row>
    <row r="32" customFormat="false" ht="15" hidden="false" customHeight="false" outlineLevel="0" collapsed="false">
      <c r="B32" s="2" t="s">
        <v>110</v>
      </c>
      <c r="C32" s="16" t="n">
        <f aca="false">IF(C24=0,0,C31*C23/C24)</f>
        <v>3531.7437</v>
      </c>
    </row>
    <row r="33" customFormat="false" ht="22.35" hidden="false" customHeight="false" outlineLevel="0" collapsed="false">
      <c r="B33" s="19" t="s">
        <v>111</v>
      </c>
      <c r="C33" s="20" t="n">
        <f aca="false">C32/12</f>
        <v>294.311975</v>
      </c>
      <c r="D33" s="18" t="s">
        <v>112</v>
      </c>
    </row>
    <row r="35" customFormat="false" ht="15" hidden="false" customHeight="false" outlineLevel="0" collapsed="false">
      <c r="B35" s="4" t="s">
        <v>113</v>
      </c>
    </row>
    <row r="36" customFormat="false" ht="15" hidden="false" customHeight="false" outlineLevel="0" collapsed="false">
      <c r="B36" s="5" t="s">
        <v>89</v>
      </c>
      <c r="C36" s="17" t="n">
        <f aca="false">C14</f>
        <v>38621.31</v>
      </c>
    </row>
    <row r="37" customFormat="false" ht="15" hidden="false" customHeight="false" outlineLevel="0" collapsed="false">
      <c r="B37" s="5" t="s">
        <v>114</v>
      </c>
      <c r="C37" s="17" t="n">
        <f aca="false">-C32</f>
        <v>-3531.7437</v>
      </c>
    </row>
    <row r="38" customFormat="false" ht="15" hidden="false" customHeight="false" outlineLevel="0" collapsed="false">
      <c r="B38" s="5" t="s">
        <v>115</v>
      </c>
      <c r="C38" s="17" t="n">
        <f aca="false">-IF('Vos chiffres'!C13="Voiture",'Train ou voiture'!C9,'Train ou voiture'!C8)</f>
        <v>-550</v>
      </c>
    </row>
    <row r="39" customFormat="false" ht="15" hidden="false" customHeight="false" outlineLevel="0" collapsed="false">
      <c r="B39" s="19" t="s">
        <v>116</v>
      </c>
      <c r="C39" s="20" t="n">
        <f aca="false">SUM(C36:C38)</f>
        <v>34539.5663</v>
      </c>
    </row>
    <row r="40" customFormat="false" ht="15" hidden="false" customHeight="false" outlineLevel="0" collapsed="false">
      <c r="B40" s="19" t="s">
        <v>117</v>
      </c>
      <c r="C40" s="20" t="n">
        <f aca="false">C39/12</f>
        <v>2878.29719166667</v>
      </c>
    </row>
    <row r="42" customFormat="false" ht="15" hidden="false" customHeight="false" outlineLevel="0" collapsed="false">
      <c r="B42" s="4" t="s">
        <v>118</v>
      </c>
    </row>
    <row r="43" customFormat="false" ht="42" hidden="false" customHeight="true" outlineLevel="0" collapsed="false">
      <c r="B43" s="2" t="s">
        <v>119</v>
      </c>
      <c r="C43" s="22" t="s">
        <v>120</v>
      </c>
      <c r="D43" s="18" t="s">
        <v>121</v>
      </c>
    </row>
    <row r="44" customFormat="false" ht="42" hidden="false" customHeight="true" outlineLevel="0" collapsed="false">
      <c r="B44" s="2" t="s">
        <v>122</v>
      </c>
      <c r="C44" s="2" t="s">
        <v>123</v>
      </c>
      <c r="D44" s="18" t="s">
        <v>124</v>
      </c>
    </row>
    <row r="45" customFormat="false" ht="42" hidden="false" customHeight="true" outlineLevel="0" collapsed="false">
      <c r="B45" s="2" t="s">
        <v>125</v>
      </c>
      <c r="C45" s="2" t="s">
        <v>126</v>
      </c>
      <c r="D45" s="18" t="s">
        <v>127</v>
      </c>
    </row>
    <row r="46" customFormat="false" ht="42" hidden="false" customHeight="true" outlineLevel="0" collapsed="false">
      <c r="B46" s="2" t="s">
        <v>128</v>
      </c>
      <c r="C46" s="2" t="s">
        <v>129</v>
      </c>
      <c r="D46" s="18" t="s">
        <v>130</v>
      </c>
    </row>
    <row r="48" customFormat="false" ht="51.75" hidden="false" customHeight="true" outlineLevel="0" collapsed="false">
      <c r="B48" s="23" t="s">
        <v>131</v>
      </c>
      <c r="C48" s="23"/>
      <c r="D48" s="23"/>
    </row>
  </sheetData>
  <sheetProtection sheet="true" formatColumns="false" formatRows="false"/>
  <mergeCells count="1">
    <mergeCell ref="B48:D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2"/>
    <col collapsed="false" customWidth="true" hidden="false" outlineLevel="0" max="3" min="3" style="0" width="20"/>
    <col collapsed="false" customWidth="true" hidden="false" outlineLevel="0" max="4" min="4" style="0" width="66"/>
  </cols>
  <sheetData>
    <row r="1" customFormat="false" ht="19.7" hidden="false" customHeight="false" outlineLevel="0" collapsed="false">
      <c r="B1" s="7" t="s">
        <v>132</v>
      </c>
    </row>
    <row r="2" customFormat="false" ht="15" hidden="false" customHeight="false" outlineLevel="0" collapsed="false">
      <c r="B2" s="3" t="s">
        <v>133</v>
      </c>
    </row>
    <row r="4" customFormat="false" ht="15" hidden="false" customHeight="false" outlineLevel="0" collapsed="false">
      <c r="B4" s="4" t="s">
        <v>134</v>
      </c>
    </row>
    <row r="5" customFormat="false" ht="15" hidden="false" customHeight="false" outlineLevel="0" collapsed="false">
      <c r="B5" s="5" t="s">
        <v>135</v>
      </c>
      <c r="C5" s="24" t="n">
        <f aca="false">2*'Vos chiffres'!C11*'Vos chiffres'!C12</f>
        <v>4200</v>
      </c>
    </row>
    <row r="6" customFormat="false" ht="15" hidden="false" customHeight="false" outlineLevel="0" collapsed="false">
      <c r="B6" s="5" t="s">
        <v>136</v>
      </c>
      <c r="C6" s="17" t="n">
        <f aca="false">IF(C5&lt;=5000,C5*INDEX(Paramètres!$B$39:$B$43,MATCH('Vos chiffres'!C17,Paramètres!$A$39:$A$43,0)),IF(C5&lt;=20000,C5*INDEX(Paramètres!$C$39:$C$43,MATCH('Vos chiffres'!C17,Paramètres!$A$39:$A$43,0))+INDEX(Paramètres!$D$39:$D$43,MATCH('Vos chiffres'!C17,Paramètres!$A$39:$A$43,0)),C5*INDEX(Paramètres!$E$39:$E$43,MATCH('Vos chiffres'!C17,Paramètres!$A$39:$A$43,0))))</f>
        <v>2671.2</v>
      </c>
      <c r="D6" s="18" t="s">
        <v>137</v>
      </c>
    </row>
    <row r="7" customFormat="false" ht="15" hidden="false" customHeight="false" outlineLevel="0" collapsed="false">
      <c r="B7" s="5" t="s">
        <v>138</v>
      </c>
      <c r="C7" s="17" t="n">
        <f aca="false">('Vos chiffres'!C18+'Vos chiffres'!C19)*Paramètres!$B$35</f>
        <v>1320</v>
      </c>
    </row>
    <row r="8" customFormat="false" ht="15" hidden="false" customHeight="false" outlineLevel="0" collapsed="false">
      <c r="B8" s="2" t="s">
        <v>139</v>
      </c>
      <c r="C8" s="16" t="n">
        <f aca="false">'Vos chiffres'!C14*(1-'Vos chiffres'!C15)*Paramètres!$B$35</f>
        <v>550</v>
      </c>
    </row>
    <row r="9" customFormat="false" ht="15" hidden="false" customHeight="false" outlineLevel="0" collapsed="false">
      <c r="B9" s="2" t="s">
        <v>140</v>
      </c>
      <c r="C9" s="16" t="n">
        <f aca="false">C6+C7</f>
        <v>3991.2</v>
      </c>
    </row>
    <row r="10" customFormat="false" ht="15" hidden="false" customHeight="false" outlineLevel="0" collapsed="false">
      <c r="B10" s="19" t="s">
        <v>141</v>
      </c>
      <c r="C10" s="20" t="n">
        <f aca="false">ABS(C9-C8)</f>
        <v>3441.2</v>
      </c>
    </row>
    <row r="11" customFormat="false" ht="15" hidden="false" customHeight="false" outlineLevel="0" collapsed="false">
      <c r="B11" s="19" t="s">
        <v>142</v>
      </c>
      <c r="C11" s="25" t="str">
        <f aca="false">IF(C8&lt;=C9,"Train","Voiture")</f>
        <v>Train</v>
      </c>
    </row>
    <row r="13" customFormat="false" ht="15" hidden="false" customHeight="false" outlineLevel="0" collapsed="false">
      <c r="B13" s="4" t="s">
        <v>143</v>
      </c>
    </row>
    <row r="14" customFormat="false" ht="15" hidden="false" customHeight="false" outlineLevel="0" collapsed="false">
      <c r="B14" s="5" t="s">
        <v>144</v>
      </c>
      <c r="C14" s="24" t="n">
        <f aca="false">2*MIN('Vos chiffres'!C11,Paramètres!$B$31)*'Vos chiffres'!C12</f>
        <v>4200</v>
      </c>
    </row>
    <row r="15" customFormat="false" ht="15" hidden="false" customHeight="false" outlineLevel="0" collapsed="false">
      <c r="B15" s="2" t="s">
        <v>145</v>
      </c>
      <c r="C15" s="16" t="n">
        <f aca="false">IF('Vos chiffres'!C13="Voiture",IF(C14&lt;=5000,C14*INDEX(Paramètres!$B$39:$B$43,MATCH('Vos chiffres'!C17,Paramètres!$A$39:$A$43,0)),IF(C14&lt;=20000,C14*INDEX(Paramètres!$C$39:$C$43,MATCH('Vos chiffres'!C17,Paramètres!$A$39:$A$43,0))+INDEX(Paramètres!$D$39:$D$43,MATCH('Vos chiffres'!C17,Paramètres!$A$39:$A$43,0)),C14*INDEX(Paramètres!$E$39:$E$43,MATCH('Vos chiffres'!C17,Paramètres!$A$39:$A$43,0))))+C7,C8)</f>
        <v>550</v>
      </c>
      <c r="D15" s="18" t="s">
        <v>146</v>
      </c>
    </row>
    <row r="17" customFormat="false" ht="15" hidden="false" customHeight="false" outlineLevel="0" collapsed="false">
      <c r="B17" s="4" t="s">
        <v>147</v>
      </c>
    </row>
    <row r="18" customFormat="false" ht="15" hidden="false" customHeight="false" outlineLevel="0" collapsed="false">
      <c r="B18" s="5" t="s">
        <v>148</v>
      </c>
      <c r="C18" s="26" t="n">
        <f aca="false">2*'Vos chiffres'!C16*'Vos chiffres'!C12/60</f>
        <v>210</v>
      </c>
    </row>
    <row r="19" customFormat="false" ht="15" hidden="false" customHeight="false" outlineLevel="0" collapsed="false">
      <c r="B19" s="5" t="s">
        <v>149</v>
      </c>
      <c r="C19" s="26" t="n">
        <f aca="false">2*'Vos chiffres'!C20*'Vos chiffres'!C12/60</f>
        <v>315</v>
      </c>
    </row>
    <row r="20" customFormat="false" ht="15" hidden="false" customHeight="false" outlineLevel="0" collapsed="false">
      <c r="B20" s="19" t="s">
        <v>150</v>
      </c>
      <c r="C20" s="27" t="n">
        <f aca="false">ABS(C19-C18)</f>
        <v>105</v>
      </c>
    </row>
    <row r="21" customFormat="false" ht="15" hidden="false" customHeight="false" outlineLevel="0" collapsed="false">
      <c r="B21" s="5" t="s">
        <v>151</v>
      </c>
      <c r="C21" s="17" t="n">
        <f aca="false">C18*'Vos chiffres'!C21</f>
        <v>0</v>
      </c>
      <c r="D21" s="18" t="s">
        <v>152</v>
      </c>
    </row>
    <row r="22" customFormat="false" ht="15" hidden="false" customHeight="false" outlineLevel="0" collapsed="false">
      <c r="B22" s="5" t="s">
        <v>153</v>
      </c>
      <c r="C22" s="17" t="n">
        <f aca="false">C19*'Vos chiffres'!C21</f>
        <v>0</v>
      </c>
    </row>
    <row r="23" customFormat="false" ht="15" hidden="false" customHeight="false" outlineLevel="0" collapsed="false">
      <c r="B23" s="2" t="s">
        <v>154</v>
      </c>
      <c r="C23" s="16" t="n">
        <f aca="false">C8+C21</f>
        <v>550</v>
      </c>
    </row>
    <row r="24" customFormat="false" ht="15" hidden="false" customHeight="false" outlineLevel="0" collapsed="false">
      <c r="B24" s="2" t="s">
        <v>155</v>
      </c>
      <c r="C24" s="16" t="n">
        <f aca="false">C9+C22</f>
        <v>3991.2</v>
      </c>
    </row>
    <row r="26" customFormat="false" ht="33.75" hidden="false" customHeight="true" outlineLevel="0" collapsed="false">
      <c r="B26" s="28" t="str">
        <f aca="false">IF(C8&lt;=C9,"Le train vous fait économiser "&amp;ROUND(C10,0)&amp;" € par an","La voiture vous coûte "&amp;ROUND(C10,0)&amp;" € de moins par an")&amp;IF(C18&lt;=C19," et vous fait gagner "&amp;ROUND(C20,0)&amp;" heures."," mais vous prend "&amp;ROUND(C20,0)&amp;" heures de plus.")</f>
        <v>Le train vous fait économiser 3441 € par an et vous fait gagner 105 heures.</v>
      </c>
      <c r="C26" s="28"/>
      <c r="D26" s="28"/>
    </row>
  </sheetData>
  <sheetProtection sheet="true" formatColumns="false" formatRows="false"/>
  <mergeCells count="1">
    <mergeCell ref="B26:D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2"/>
    <col collapsed="false" customWidth="true" hidden="false" outlineLevel="0" max="3" min="3" style="0" width="20"/>
    <col collapsed="false" customWidth="true" hidden="false" outlineLevel="0" max="4" min="4" style="0" width="70"/>
  </cols>
  <sheetData>
    <row r="1" customFormat="false" ht="19.7" hidden="false" customHeight="false" outlineLevel="0" collapsed="false">
      <c r="B1" s="7" t="s">
        <v>156</v>
      </c>
    </row>
    <row r="2" customFormat="false" ht="15" hidden="false" customHeight="false" outlineLevel="0" collapsed="false">
      <c r="B2" s="3" t="s">
        <v>157</v>
      </c>
    </row>
    <row r="4" customFormat="false" ht="15" hidden="false" customHeight="false" outlineLevel="0" collapsed="false">
      <c r="B4" s="4" t="s">
        <v>158</v>
      </c>
    </row>
    <row r="5" customFormat="false" ht="15" hidden="false" customHeight="false" outlineLevel="0" collapsed="false">
      <c r="B5" s="5" t="s">
        <v>159</v>
      </c>
      <c r="C5" s="17" t="n">
        <f aca="false">Résultats!C14</f>
        <v>38621.31</v>
      </c>
    </row>
    <row r="6" customFormat="false" ht="15" hidden="false" customHeight="false" outlineLevel="0" collapsed="false">
      <c r="B6" s="5" t="s">
        <v>160</v>
      </c>
      <c r="C6" s="17" t="n">
        <f aca="false">'Vos chiffres'!C9</f>
        <v>0</v>
      </c>
    </row>
    <row r="7" customFormat="false" ht="15" hidden="false" customHeight="false" outlineLevel="0" collapsed="false">
      <c r="B7" s="5" t="s">
        <v>109</v>
      </c>
      <c r="C7" s="17" t="n">
        <f aca="false">-Résultats!C31</f>
        <v>-3531.7437</v>
      </c>
    </row>
    <row r="8" customFormat="false" ht="15" hidden="false" customHeight="false" outlineLevel="0" collapsed="false">
      <c r="B8" s="2" t="s">
        <v>161</v>
      </c>
      <c r="C8" s="16" t="n">
        <f aca="false">MAX(0,SUM(C5:C7))</f>
        <v>35089.5663</v>
      </c>
    </row>
    <row r="9" customFormat="false" ht="15" hidden="false" customHeight="false" outlineLevel="0" collapsed="false">
      <c r="B9" s="2" t="s">
        <v>162</v>
      </c>
      <c r="C9" s="16" t="n">
        <f aca="false">C8/12</f>
        <v>2924.130525</v>
      </c>
    </row>
    <row r="11" customFormat="false" ht="15" hidden="false" customHeight="false" outlineLevel="0" collapsed="false">
      <c r="B11" s="4" t="s">
        <v>163</v>
      </c>
    </row>
    <row r="12" customFormat="false" ht="15" hidden="false" customHeight="false" outlineLevel="0" collapsed="false">
      <c r="B12" s="19" t="s">
        <v>164</v>
      </c>
      <c r="C12" s="20" t="n">
        <f aca="false">MAX(0,C9*Paramètres!$B$33-'Vos chiffres'!C24)</f>
        <v>1023.44568375</v>
      </c>
    </row>
    <row r="13" customFormat="false" ht="15" hidden="false" customHeight="false" outlineLevel="0" collapsed="false">
      <c r="B13" s="5" t="s">
        <v>165</v>
      </c>
      <c r="C13" s="29" t="n">
        <f aca="false">'Vos chiffres'!C25</f>
        <v>0.0385</v>
      </c>
    </row>
    <row r="14" customFormat="false" ht="15" hidden="false" customHeight="false" outlineLevel="0" collapsed="false">
      <c r="B14" s="5" t="s">
        <v>166</v>
      </c>
      <c r="C14" s="30" t="n">
        <f aca="false">'Vos chiffres'!C26</f>
        <v>25</v>
      </c>
    </row>
    <row r="15" customFormat="false" ht="15" hidden="false" customHeight="false" outlineLevel="0" collapsed="false">
      <c r="B15" s="2" t="s">
        <v>167</v>
      </c>
      <c r="C15" s="16" t="n">
        <f aca="false">IF(C13=0,C12*12*C14,C12*(1-(1+C13/12)^(-C14*12))/(C13/12))</f>
        <v>196971.848338127</v>
      </c>
    </row>
    <row r="16" customFormat="false" ht="15" hidden="false" customHeight="false" outlineLevel="0" collapsed="false">
      <c r="B16" s="5" t="s">
        <v>168</v>
      </c>
      <c r="C16" s="17" t="n">
        <f aca="false">C12*12*C14-C15</f>
        <v>110061.856786873</v>
      </c>
    </row>
    <row r="17" customFormat="false" ht="15" hidden="false" customHeight="false" outlineLevel="0" collapsed="false">
      <c r="B17" s="5" t="s">
        <v>169</v>
      </c>
      <c r="C17" s="17" t="n">
        <f aca="false">'Vos chiffres'!C23</f>
        <v>20000</v>
      </c>
    </row>
    <row r="18" customFormat="false" ht="15" hidden="false" customHeight="false" outlineLevel="0" collapsed="false">
      <c r="B18" s="2" t="s">
        <v>170</v>
      </c>
      <c r="C18" s="16" t="n">
        <f aca="false">C15+C17</f>
        <v>216971.848338127</v>
      </c>
    </row>
    <row r="20" customFormat="false" ht="15" hidden="false" customHeight="false" outlineLevel="0" collapsed="false">
      <c r="B20" s="4" t="s">
        <v>171</v>
      </c>
    </row>
    <row r="21" customFormat="false" ht="15" hidden="false" customHeight="false" outlineLevel="0" collapsed="false">
      <c r="B21" s="19" t="s">
        <v>172</v>
      </c>
      <c r="C21" s="20" t="n">
        <f aca="false">C18/(1+Paramètres!$B$34)</f>
        <v>200899.85957234</v>
      </c>
    </row>
    <row r="22" customFormat="false" ht="15" hidden="false" customHeight="false" outlineLevel="0" collapsed="false">
      <c r="B22" s="5" t="s">
        <v>173</v>
      </c>
      <c r="C22" s="5" t="str">
        <f aca="false">'Vos chiffres'!C10</f>
        <v>Menton</v>
      </c>
    </row>
    <row r="23" customFormat="false" ht="15" hidden="false" customHeight="false" outlineLevel="0" collapsed="false">
      <c r="B23" s="5" t="s">
        <v>174</v>
      </c>
      <c r="C23" s="17" t="n">
        <f aca="false">'Vos chiffres'!C22</f>
        <v>5000</v>
      </c>
    </row>
    <row r="24" customFormat="false" ht="15" hidden="false" customHeight="false" outlineLevel="0" collapsed="false">
      <c r="B24" s="19" t="s">
        <v>175</v>
      </c>
      <c r="C24" s="31" t="n">
        <f aca="false">IF(C23&gt;0,C21/C23,0)</f>
        <v>40.1799719144679</v>
      </c>
      <c r="D24" s="18" t="s">
        <v>176</v>
      </c>
    </row>
    <row r="26" customFormat="false" ht="31.5" hidden="false" customHeight="true" outlineLevel="0" collapsed="false">
      <c r="B26" s="23" t="s">
        <v>177</v>
      </c>
      <c r="C26" s="23"/>
      <c r="D26" s="23"/>
    </row>
  </sheetData>
  <sheetProtection sheet="true" formatColumns="false" formatRows="false"/>
  <mergeCells count="1">
    <mergeCell ref="B26:D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3" min="2" style="0" width="18"/>
    <col collapsed="false" customWidth="true" hidden="false" outlineLevel="0" max="4" min="4" style="0" width="14"/>
    <col collapsed="false" customWidth="true" hidden="false" outlineLevel="0" max="5" min="5" style="0" width="90"/>
  </cols>
  <sheetData>
    <row r="1" customFormat="false" ht="19.7" hidden="false" customHeight="false" outlineLevel="0" collapsed="false">
      <c r="A1" s="7" t="s">
        <v>178</v>
      </c>
    </row>
    <row r="2" customFormat="false" ht="15" hidden="false" customHeight="false" outlineLevel="0" collapsed="false">
      <c r="A2" s="3" t="s">
        <v>179</v>
      </c>
    </row>
    <row r="3" customFormat="false" ht="15" hidden="false" customHeight="false" outlineLevel="0" collapsed="false">
      <c r="A3" s="8" t="s">
        <v>180</v>
      </c>
      <c r="B3" s="8" t="s">
        <v>181</v>
      </c>
      <c r="C3" s="8"/>
      <c r="D3" s="8"/>
      <c r="E3" s="8" t="s">
        <v>182</v>
      </c>
    </row>
    <row r="4" customFormat="false" ht="15" hidden="false" customHeight="false" outlineLevel="0" collapsed="false">
      <c r="A4" s="5" t="s">
        <v>183</v>
      </c>
      <c r="B4" s="15" t="n">
        <v>0.0685</v>
      </c>
      <c r="E4" s="3" t="s">
        <v>184</v>
      </c>
    </row>
    <row r="5" customFormat="false" ht="15" hidden="false" customHeight="false" outlineLevel="0" collapsed="false">
      <c r="A5" s="5" t="s">
        <v>185</v>
      </c>
      <c r="B5" s="9" t="n">
        <v>6276</v>
      </c>
      <c r="E5" s="3" t="s">
        <v>186</v>
      </c>
    </row>
    <row r="6" customFormat="false" ht="15" hidden="false" customHeight="false" outlineLevel="0" collapsed="false">
      <c r="A6" s="5" t="s">
        <v>187</v>
      </c>
      <c r="B6" s="15" t="n">
        <v>0.024</v>
      </c>
      <c r="E6" s="3" t="s">
        <v>188</v>
      </c>
    </row>
    <row r="7" customFormat="false" ht="15" hidden="false" customHeight="false" outlineLevel="0" collapsed="false">
      <c r="A7" s="5" t="s">
        <v>189</v>
      </c>
      <c r="B7" s="9" t="n">
        <v>16020</v>
      </c>
      <c r="E7" s="3" t="s">
        <v>186</v>
      </c>
    </row>
    <row r="8" customFormat="false" ht="15" hidden="false" customHeight="false" outlineLevel="0" collapsed="false">
      <c r="A8" s="5" t="s">
        <v>190</v>
      </c>
      <c r="B8" s="32" t="n">
        <v>0.04868</v>
      </c>
      <c r="E8" s="3" t="s">
        <v>191</v>
      </c>
    </row>
    <row r="9" customFormat="false" ht="15" hidden="false" customHeight="false" outlineLevel="0" collapsed="false">
      <c r="A9" s="5" t="s">
        <v>192</v>
      </c>
      <c r="B9" s="9" t="n">
        <v>4067</v>
      </c>
      <c r="E9" s="3" t="s">
        <v>186</v>
      </c>
    </row>
    <row r="10" customFormat="false" ht="15" hidden="false" customHeight="false" outlineLevel="0" collapsed="false">
      <c r="A10" s="5" t="s">
        <v>193</v>
      </c>
      <c r="B10" s="32" t="n">
        <v>0.10796</v>
      </c>
      <c r="E10" s="3" t="s">
        <v>194</v>
      </c>
    </row>
    <row r="11" customFormat="false" ht="15" hidden="false" customHeight="false" outlineLevel="0" collapsed="false">
      <c r="A11" s="5" t="s">
        <v>195</v>
      </c>
      <c r="B11" s="9" t="n">
        <v>32536</v>
      </c>
      <c r="E11" s="3" t="s">
        <v>196</v>
      </c>
    </row>
    <row r="12" customFormat="false" ht="15" hidden="false" customHeight="false" outlineLevel="0" collapsed="false">
      <c r="A12" s="5" t="s">
        <v>197</v>
      </c>
      <c r="B12" s="13" t="n">
        <v>0</v>
      </c>
      <c r="E12" s="3" t="s">
        <v>198</v>
      </c>
    </row>
    <row r="13" customFormat="false" ht="15" hidden="false" customHeight="false" outlineLevel="0" collapsed="false">
      <c r="A13" s="5" t="s">
        <v>199</v>
      </c>
      <c r="B13" s="13" t="n">
        <v>0</v>
      </c>
      <c r="E13" s="3" t="s">
        <v>200</v>
      </c>
    </row>
    <row r="14" customFormat="false" ht="15" hidden="false" customHeight="false" outlineLevel="0" collapsed="false">
      <c r="A14" s="5" t="s">
        <v>201</v>
      </c>
      <c r="B14" s="13" t="n">
        <v>0.01</v>
      </c>
      <c r="E14" s="3" t="s">
        <v>202</v>
      </c>
    </row>
    <row r="16" customFormat="false" ht="15" hidden="false" customHeight="false" outlineLevel="0" collapsed="false">
      <c r="A16" s="4" t="s">
        <v>203</v>
      </c>
    </row>
    <row r="17" customFormat="false" ht="26.85" hidden="false" customHeight="false" outlineLevel="0" collapsed="false">
      <c r="A17" s="8" t="s">
        <v>204</v>
      </c>
      <c r="B17" s="8" t="s">
        <v>205</v>
      </c>
      <c r="C17" s="8" t="s">
        <v>206</v>
      </c>
      <c r="D17" s="8" t="s">
        <v>207</v>
      </c>
      <c r="E17" s="8" t="s">
        <v>182</v>
      </c>
    </row>
    <row r="18" customFormat="false" ht="15" hidden="false" customHeight="false" outlineLevel="0" collapsed="false">
      <c r="A18" s="5" t="s">
        <v>208</v>
      </c>
      <c r="B18" s="33" t="n">
        <v>0</v>
      </c>
      <c r="C18" s="13" t="n">
        <v>0</v>
      </c>
      <c r="D18" s="34" t="n">
        <f aca="false">C18</f>
        <v>0</v>
      </c>
      <c r="E18" s="3" t="s">
        <v>209</v>
      </c>
    </row>
    <row r="19" customFormat="false" ht="15" hidden="false" customHeight="false" outlineLevel="0" collapsed="false">
      <c r="A19" s="5" t="s">
        <v>210</v>
      </c>
      <c r="B19" s="33" t="n">
        <v>11600</v>
      </c>
      <c r="C19" s="13" t="n">
        <v>0.11</v>
      </c>
      <c r="D19" s="34" t="n">
        <f aca="false">C19-C18</f>
        <v>0.11</v>
      </c>
      <c r="E19" s="3" t="s">
        <v>211</v>
      </c>
    </row>
    <row r="20" customFormat="false" ht="15" hidden="false" customHeight="false" outlineLevel="0" collapsed="false">
      <c r="A20" s="5" t="s">
        <v>212</v>
      </c>
      <c r="B20" s="33" t="n">
        <v>29579</v>
      </c>
      <c r="C20" s="13" t="n">
        <v>0.3</v>
      </c>
      <c r="D20" s="34" t="n">
        <f aca="false">C20-C19</f>
        <v>0.19</v>
      </c>
    </row>
    <row r="21" customFormat="false" ht="15" hidden="false" customHeight="false" outlineLevel="0" collapsed="false">
      <c r="A21" s="5" t="s">
        <v>213</v>
      </c>
      <c r="B21" s="33" t="n">
        <v>84577</v>
      </c>
      <c r="C21" s="13" t="n">
        <v>0.41</v>
      </c>
      <c r="D21" s="34" t="n">
        <f aca="false">C21-C20</f>
        <v>0.11</v>
      </c>
    </row>
    <row r="22" customFormat="false" ht="15" hidden="false" customHeight="false" outlineLevel="0" collapsed="false">
      <c r="A22" s="5" t="s">
        <v>214</v>
      </c>
      <c r="B22" s="33" t="n">
        <v>181917</v>
      </c>
      <c r="C22" s="13" t="n">
        <v>0.45</v>
      </c>
      <c r="D22" s="34" t="n">
        <f aca="false">C22-C21</f>
        <v>0.04</v>
      </c>
    </row>
    <row r="24" customFormat="false" ht="15" hidden="false" customHeight="false" outlineLevel="0" collapsed="false">
      <c r="A24" s="5" t="s">
        <v>215</v>
      </c>
      <c r="B24" s="9" t="n">
        <v>1807</v>
      </c>
      <c r="E24" s="3" t="s">
        <v>216</v>
      </c>
    </row>
    <row r="25" customFormat="false" ht="15" hidden="false" customHeight="false" outlineLevel="0" collapsed="false">
      <c r="A25" s="5" t="s">
        <v>217</v>
      </c>
      <c r="B25" s="13" t="n">
        <v>0.1</v>
      </c>
      <c r="E25" s="3" t="s">
        <v>218</v>
      </c>
    </row>
    <row r="26" customFormat="false" ht="15" hidden="false" customHeight="false" outlineLevel="0" collapsed="false">
      <c r="A26" s="5" t="s">
        <v>219</v>
      </c>
      <c r="B26" s="9" t="n">
        <v>509</v>
      </c>
      <c r="E26" s="3" t="s">
        <v>220</v>
      </c>
    </row>
    <row r="27" customFormat="false" ht="15" hidden="false" customHeight="false" outlineLevel="0" collapsed="false">
      <c r="A27" s="5" t="s">
        <v>221</v>
      </c>
      <c r="B27" s="9" t="n">
        <v>14555</v>
      </c>
      <c r="E27" s="3" t="s">
        <v>222</v>
      </c>
    </row>
    <row r="28" customFormat="false" ht="15" hidden="false" customHeight="false" outlineLevel="0" collapsed="false">
      <c r="A28" s="5" t="s">
        <v>223</v>
      </c>
      <c r="B28" s="9" t="n">
        <v>897</v>
      </c>
      <c r="E28" s="3" t="s">
        <v>224</v>
      </c>
    </row>
    <row r="29" customFormat="false" ht="15" hidden="false" customHeight="false" outlineLevel="0" collapsed="false">
      <c r="A29" s="5" t="s">
        <v>225</v>
      </c>
      <c r="B29" s="9" t="n">
        <v>1483</v>
      </c>
      <c r="E29" s="3" t="s">
        <v>226</v>
      </c>
    </row>
    <row r="30" customFormat="false" ht="15" hidden="false" customHeight="false" outlineLevel="0" collapsed="false">
      <c r="A30" s="5" t="s">
        <v>227</v>
      </c>
      <c r="B30" s="15" t="n">
        <v>0.4525</v>
      </c>
      <c r="E30" s="3" t="s">
        <v>228</v>
      </c>
    </row>
    <row r="31" customFormat="false" ht="15" hidden="false" customHeight="false" outlineLevel="0" collapsed="false">
      <c r="A31" s="5" t="s">
        <v>229</v>
      </c>
      <c r="B31" s="12" t="n">
        <v>40</v>
      </c>
      <c r="E31" s="3" t="s">
        <v>230</v>
      </c>
    </row>
    <row r="33" customFormat="false" ht="15" hidden="false" customHeight="false" outlineLevel="0" collapsed="false">
      <c r="A33" s="5" t="s">
        <v>231</v>
      </c>
      <c r="B33" s="13" t="n">
        <v>0.35</v>
      </c>
      <c r="E33" s="3" t="s">
        <v>232</v>
      </c>
    </row>
    <row r="34" customFormat="false" ht="15" hidden="false" customHeight="false" outlineLevel="0" collapsed="false">
      <c r="A34" s="5" t="s">
        <v>233</v>
      </c>
      <c r="B34" s="13" t="n">
        <v>0.08</v>
      </c>
      <c r="E34" s="3" t="s">
        <v>234</v>
      </c>
    </row>
    <row r="35" customFormat="false" ht="15" hidden="false" customHeight="false" outlineLevel="0" collapsed="false">
      <c r="A35" s="5" t="s">
        <v>235</v>
      </c>
      <c r="B35" s="10" t="n">
        <v>11</v>
      </c>
      <c r="E35" s="3" t="s">
        <v>236</v>
      </c>
    </row>
    <row r="37" customFormat="false" ht="15" hidden="false" customHeight="false" outlineLevel="0" collapsed="false">
      <c r="A37" s="4" t="s">
        <v>237</v>
      </c>
    </row>
    <row r="38" customFormat="false" ht="26.85" hidden="false" customHeight="false" outlineLevel="0" collapsed="false">
      <c r="A38" s="8" t="s">
        <v>238</v>
      </c>
      <c r="B38" s="8" t="s">
        <v>239</v>
      </c>
      <c r="C38" s="8" t="s">
        <v>240</v>
      </c>
      <c r="D38" s="8" t="s">
        <v>241</v>
      </c>
      <c r="E38" s="8" t="s">
        <v>242</v>
      </c>
    </row>
    <row r="39" customFormat="false" ht="15" hidden="false" customHeight="false" outlineLevel="0" collapsed="false">
      <c r="A39" s="35" t="n">
        <v>3</v>
      </c>
      <c r="B39" s="36" t="n">
        <v>0.529</v>
      </c>
      <c r="C39" s="36" t="n">
        <v>0.316</v>
      </c>
      <c r="D39" s="37" t="n">
        <v>1065</v>
      </c>
      <c r="E39" s="36" t="n">
        <v>0.37</v>
      </c>
    </row>
    <row r="40" customFormat="false" ht="15" hidden="false" customHeight="false" outlineLevel="0" collapsed="false">
      <c r="A40" s="35" t="n">
        <v>4</v>
      </c>
      <c r="B40" s="36" t="n">
        <v>0.606</v>
      </c>
      <c r="C40" s="36" t="n">
        <v>0.34</v>
      </c>
      <c r="D40" s="37" t="n">
        <v>1330</v>
      </c>
      <c r="E40" s="36" t="n">
        <v>0.407</v>
      </c>
    </row>
    <row r="41" customFormat="false" ht="15" hidden="false" customHeight="false" outlineLevel="0" collapsed="false">
      <c r="A41" s="35" t="n">
        <v>5</v>
      </c>
      <c r="B41" s="36" t="n">
        <v>0.636</v>
      </c>
      <c r="C41" s="36" t="n">
        <v>0.357</v>
      </c>
      <c r="D41" s="37" t="n">
        <v>1395</v>
      </c>
      <c r="E41" s="36" t="n">
        <v>0.427</v>
      </c>
    </row>
    <row r="42" customFormat="false" ht="15" hidden="false" customHeight="false" outlineLevel="0" collapsed="false">
      <c r="A42" s="35" t="n">
        <v>6</v>
      </c>
      <c r="B42" s="36" t="n">
        <v>0.665</v>
      </c>
      <c r="C42" s="36" t="n">
        <v>0.374</v>
      </c>
      <c r="D42" s="37" t="n">
        <v>1457</v>
      </c>
      <c r="E42" s="36" t="n">
        <v>0.447</v>
      </c>
    </row>
    <row r="43" customFormat="false" ht="15" hidden="false" customHeight="false" outlineLevel="0" collapsed="false">
      <c r="A43" s="35" t="n">
        <v>7</v>
      </c>
      <c r="B43" s="36" t="n">
        <v>0.697</v>
      </c>
      <c r="C43" s="36" t="n">
        <v>0.394</v>
      </c>
      <c r="D43" s="37" t="n">
        <v>1515</v>
      </c>
      <c r="E43" s="36" t="n">
        <v>0.47</v>
      </c>
    </row>
    <row r="44" customFormat="false" ht="15" hidden="false" customHeight="false" outlineLevel="0" collapsed="false">
      <c r="A44" s="3" t="s">
        <v>243</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2026-11-01T08:58:11Z</dcterms:created>
  <dc:creator>openpyxl</dc:creator>
  <dc:description/>
  <dc:language>en-US</dc:language>
  <cp:lastModifiedBy/>
  <dcterms:modified xsi:type="dcterms:W3CDTF">2026-11-01T08:58:11Z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