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Vos chiffres" sheetId="2" state="visible" r:id="rId4"/>
    <sheet name="Résultats" sheetId="3" state="visible" r:id="rId5"/>
    <sheet name="LAMal ou CMU" sheetId="4" state="visible" r:id="rId6"/>
    <sheet name="Budget logement" sheetId="5" state="visible" r:id="rId7"/>
    <sheet name="Paramètre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<sst xmlns="http://schemas.openxmlformats.org/spreadsheetml/2006/main" count="302" uniqueCount="279">
  <si>
    <t xml:space="preserve">Le simulateur du frontalier en Suisse 2026</t>
  </si>
  <si>
    <t xml:space="preserve">Un outil gratuit Côté Frontalier – habitercotefrancais.fr/simulateur-suisse</t>
  </si>
  <si>
    <t xml:space="preserve">Version 2026.1 du 01/11/2026</t>
  </si>
  <si>
    <t xml:space="preserve">Ce que fait ce fichier</t>
  </si>
  <si>
    <t xml:space="preserve">Il refait, avec VOS chiffres, les calculs qui pèsent le plus lourd pour un frontalier qui travaille en Suisse et habite en France :</t>
  </si>
  <si>
    <t xml:space="preserve">1. votre salaire net, ligne par ligne : AVS/AI/APG, chômage, retraite LPP selon votre âge, accidents, impôt à la source ;</t>
  </si>
  <si>
    <t xml:space="preserve">2. l'impôt français selon votre canton : Genève (impôt à la source) ou cantons de l'accord de 1983 (impôt payé en France) ;</t>
  </si>
  <si>
    <t xml:space="preserve">3. LAMal ou CMU : laquelle vous coûte le moins, la 1re année et sur 10 ans ;</t>
  </si>
  <si>
    <t xml:space="preserve">4. ce qu'il vous reste chaque mois, votre capacité d'emprunt et la surface accessible dans la commune visée.</t>
  </si>
  <si>
    <t xml:space="preserve">Mode d'emploi (2 minutes)</t>
  </si>
  <si>
    <t xml:space="preserve">1. Ouvrez « Vos chiffres » et remplacez les cases jaunes par votre situation.</t>
  </si>
  <si>
    <t xml:space="preserve">2. Lisez « Résultats », puis « LAMal ou CMU » et « Budget logement ».</t>
  </si>
  <si>
    <t xml:space="preserve">3. Chaque année, mettez à jour les cases jaunes de l'onglet « Paramètres » (la source est indiquée sur chaque ligne).</t>
  </si>
  <si>
    <t xml:space="preserve">Légende : case jaune à texte bleu = à remplir ; texte noir = calcul automatique, protégé contre les modifications accidentelles.</t>
  </si>
  <si>
    <t xml:space="preserve">Avertissement : calculs indicatifs</t>
  </si>
  <si>
    <t xml:space="preserve">Ce simulateur est un outil pédagogique. Il fournit des calculs indicatifs à partir des règles générales publiées au 01/11/2026 et de vos propres saisies. Il ne constitue ni un conseil fiscal, ni un conseil juridique, ni un conseil financier ou en assurance, et ne remplace pas l'avis d'un professionnel (fiscaliste, avocat, CPAM, Urssaf, caisse LAMal, banque). Les taux, barèmes et primes changent chaque année ; certaines valeurs sont des ordres de grandeur ou des hypothèses, signalées comme telles. Votre situation réelle (barème d'impôt à la source, caisse de pension, revenus de l'avant-dernière année, situation familiale) peut donner un résultat différent. Le choix entre LAMal et CMU est en principe irrévocable : faites-le vérifier avant de décider. Côté Frontalier n'est ni conseiller fiscal, ni intermédiaire en assurance, ni intermédiaire en crédit, et ne peut être tenu responsable d'une décision prise sur la seule base de ce fichier.</t>
  </si>
  <si>
    <t xml:space="preserve">Sources officielles (détail et dates dans « Paramètres »)</t>
  </si>
  <si>
    <t xml:space="preserve">• Cotisations sociales suisses 2026 et montants LPP : Office fédéral des assurances sociales – bsv.admin.ch</t>
  </si>
  <si>
    <t xml:space="preserve">• Primes LAMal : comparateur officiel priminfo.admin.ch</t>
  </si>
  <si>
    <t xml:space="preserve">• Impôt à la source à Genève et télétravail (avenant franco-suisse, 2026) : ge.ch</t>
  </si>
  <si>
    <t xml:space="preserve">• Accord de 1983 et formulaire 2041-AS : impots.gouv.fr</t>
  </si>
  <si>
    <t xml:space="preserve">• Barème de l'impôt, quotient familial, décote : impots.gouv.fr / BOFiP</t>
  </si>
  <si>
    <t xml:space="preserve">• Cotisation CMU des frontaliers et PASS 2026 : urssaf.fr / ameli.fr</t>
  </si>
  <si>
    <t xml:space="preserve">• Pour aller plus loin : « Frontalier en Suisse, le guide complet » (Côté Frontalier, Amazon)</t>
  </si>
  <si>
    <t xml:space="preserve">• Prix réels des logements par commune : habitercotefrancais.fr/suisse/communes/</t>
  </si>
  <si>
    <t xml:space="preserve">© 2026 Côté Frontalier. Fichier gratuit pour un usage personnel. Reproduction et revente interdites.</t>
  </si>
  <si>
    <t xml:space="preserve">Vos chiffres</t>
  </si>
  <si>
    <t xml:space="preserve">Remplacez uniquement les cases jaunes (texte bleu). Les valeurs déjà saisies sont un exemple.</t>
  </si>
  <si>
    <t xml:space="preserve">Votre situation</t>
  </si>
  <si>
    <t xml:space="preserve">Votre valeur</t>
  </si>
  <si>
    <t xml:space="preserve">Aide</t>
  </si>
  <si>
    <t xml:space="preserve">Canton où vous travaillez</t>
  </si>
  <si>
    <t xml:space="preserve">Genève</t>
  </si>
  <si>
    <t xml:space="preserve">Choisissez dans la liste : il décide où vous payez l'impôt.</t>
  </si>
  <si>
    <t xml:space="preserve">Salaire brut mensuel (CHF)</t>
  </si>
  <si>
    <t xml:space="preserve">Le salaire brut mensuel de votre contrat.</t>
  </si>
  <si>
    <t xml:space="preserve">Nombre de salaires par an</t>
  </si>
  <si>
    <t xml:space="preserve">12, ou 13 avec un 13e salaire (parfois 13,5 ou 14).</t>
  </si>
  <si>
    <t xml:space="preserve">Votre âge</t>
  </si>
  <si>
    <t xml:space="preserve">Sert au calcul de la cotisation de retraite LPP.</t>
  </si>
  <si>
    <t xml:space="preserve">Situation familiale</t>
  </si>
  <si>
    <t xml:space="preserve">Seul</t>
  </si>
  <si>
    <t xml:space="preserve">« Seul » ou « En couple » (marié ou pacsé).</t>
  </si>
  <si>
    <t xml:space="preserve">Nombre d'enfants à charge</t>
  </si>
  <si>
    <t xml:space="preserve">Les parts fiscales et le nombre d'enfants à assurer en LAMal en découlent.</t>
  </si>
  <si>
    <t xml:space="preserve">Autres revenus nets imposables du foyer en France (€/an)</t>
  </si>
  <si>
    <t xml:space="preserve">Par exemple le salaire net imposable de votre conjoint en France.</t>
  </si>
  <si>
    <t xml:space="preserve">…dont revenus d'activité de votre conjoint en France (€/an)</t>
  </si>
  <si>
    <t xml:space="preserve">Déjà soumis aux cotisations françaises : ils sont retirés de la base de la CMU.</t>
  </si>
  <si>
    <t xml:space="preserve">Votre taux d'impôt à la source (Genève ou autre canton à la source)</t>
  </si>
  <si>
    <t xml:space="preserve">Laissez vide pour le taux indicatif de l'onglet « Paramètres ». Votre vrai taux est sur votre fiche de paie.</t>
  </si>
  <si>
    <t xml:space="preserve">Nombre d'adultes à assurer en LAMal</t>
  </si>
  <si>
    <t xml:space="preserve">Vous, plus votre conjoint s'il n'a pas d'activité en France. Avec la LAMal, chaque personne paie sa prime.</t>
  </si>
  <si>
    <t xml:space="preserve">Votre prime LAMal adulte (CHF/mois)</t>
  </si>
  <si>
    <t xml:space="preserve">Laissez vide pour la prime indicative du canton. Comparez sur priminfo.admin.ch.</t>
  </si>
  <si>
    <t xml:space="preserve">Prime LAMal par enfant (CHF/mois)</t>
  </si>
  <si>
    <t xml:space="preserve">Ordre de grandeur : à vérifier sur priminfo.admin.ch.</t>
  </si>
  <si>
    <t xml:space="preserve">Taux de change : 1 CHF = … €</t>
  </si>
  <si>
    <t xml:space="preserve">1,0816 € à la clôture du 26/10/2026. Mettez le taux du jour (BCE ou votre banque).</t>
  </si>
  <si>
    <t xml:space="preserve">Assurance santé retenue pour votre budget</t>
  </si>
  <si>
    <t xml:space="preserve">La moins chère</t>
  </si>
  <si>
    <t xml:space="preserve">« La moins chère », « LAMal » ou « CMU ».</t>
  </si>
  <si>
    <t xml:space="preserve">Hausse annuelle supposée des primes LAMal</t>
  </si>
  <si>
    <t xml:space="preserve">Hypothèse pour la projection sur 10 ans.</t>
  </si>
  <si>
    <t xml:space="preserve">Hausse annuelle supposée de vos revenus</t>
  </si>
  <si>
    <t xml:space="preserve">Hypothèse pour la projection de la CMU sur 10 ans.</t>
  </si>
  <si>
    <t xml:space="preserve">Part de télétravail depuis la France</t>
  </si>
  <si>
    <t xml:space="preserve">Au-delà de 40 % du temps de travail, votre régime peut changer.</t>
  </si>
  <si>
    <t xml:space="preserve">Commune visée côté France</t>
  </si>
  <si>
    <t xml:space="preserve">Annemasse</t>
  </si>
  <si>
    <t xml:space="preserve">Pour mémoire.</t>
  </si>
  <si>
    <t xml:space="preserve">Prix moyen au m² de la commune visée (€)</t>
  </si>
  <si>
    <t xml:space="preserve">Prix réels par commune : habitercotefrancais.fr/suisse/communes/</t>
  </si>
  <si>
    <t xml:space="preserve">Apport personnel (€)</t>
  </si>
  <si>
    <t xml:space="preserve">Crédits déjà en cours (€/mois)</t>
  </si>
  <si>
    <t xml:space="preserve">Voiture, consommation… Ils réduisent ce que vous pouvez emprunter.</t>
  </si>
  <si>
    <t xml:space="preserve">Taux du crédit immobilier, assurance comprise</t>
  </si>
  <si>
    <t xml:space="preserve">3,85 % sur 25 ans assurance comprise (barèmes de courtiers relevés en septembre 2026 + 0,30 point d'assurance). Mettez le taux proposé par votre banque.</t>
  </si>
  <si>
    <t xml:space="preserve">Durée du crédit (années)</t>
  </si>
  <si>
    <t xml:space="preserve">25 ans maximum pour un achat classique (HCSF).</t>
  </si>
  <si>
    <t xml:space="preserve">Part du salaire en francs retenue par la banque</t>
  </si>
  <si>
    <t xml:space="preserve">Pour un prêt en euros, beaucoup de banques ne retiennent que 80 à 90 % d'un salaire en francs (risque de change). 100 % pour un prêt en francs.</t>
  </si>
  <si>
    <t xml:space="preserve">Vos résultats : onglets « Résultats », « LAMal ou CMU » et « Budget logement ».</t>
  </si>
  <si>
    <t xml:space="preserve">Ce fichier ne transmet aucune donnée : tout reste sur votre ordinateur.</t>
  </si>
  <si>
    <t xml:space="preserve">Vos résultats</t>
  </si>
  <si>
    <t xml:space="preserve">Calculs indicatifs à partir de « Vos chiffres ». Ils ne remplacent pas un conseil personnalisé.</t>
  </si>
  <si>
    <t xml:space="preserve">1. Votre régime</t>
  </si>
  <si>
    <t xml:space="preserve">Canton de travail</t>
  </si>
  <si>
    <t xml:space="preserve">Où est payé l'impôt sur votre salaire</t>
  </si>
  <si>
    <t xml:space="preserve">Code régime (calcul)</t>
  </si>
  <si>
    <t xml:space="preserve">2. Du brut au net, ligne par ligne (francs suisses)</t>
  </si>
  <si>
    <t xml:space="preserve">Salaire brut annuel</t>
  </si>
  <si>
    <t xml:space="preserve">AVS / AI / APG</t>
  </si>
  <si>
    <t xml:space="preserve">Assurance chômage (AC)</t>
  </si>
  <si>
    <t xml:space="preserve">Salaire coordonné LPP</t>
  </si>
  <si>
    <t xml:space="preserve">Base de la cotisation de retraite obligatoire.</t>
  </si>
  <si>
    <t xml:space="preserve">Taux de bonification LPP selon votre âge</t>
  </si>
  <si>
    <t xml:space="preserve">Retraite LPP (votre part)</t>
  </si>
  <si>
    <t xml:space="preserve">Minimum légal : votre caisse peut prélever plus (voir votre certificat).</t>
  </si>
  <si>
    <t xml:space="preserve">Accidents non professionnels (AANP)</t>
  </si>
  <si>
    <t xml:space="preserve">Taux propre à l'employeur : remplacez l'hypothèse dans « Paramètres ».</t>
  </si>
  <si>
    <t xml:space="preserve">Perte de gain maladie (IJM)</t>
  </si>
  <si>
    <t xml:space="preserve">Total des cotisations sociales suisses</t>
  </si>
  <si>
    <t xml:space="preserve">Taux d'impôt à la source appliqué</t>
  </si>
  <si>
    <t xml:space="preserve">Ordre de grandeur : le taux réel dépend du barème genevois (A, B, C, H) et de votre salaire.</t>
  </si>
  <si>
    <t xml:space="preserve">Impôt à la source</t>
  </si>
  <si>
    <t xml:space="preserve">Salaire net annuel</t>
  </si>
  <si>
    <t xml:space="preserve">Salaire net annuel en euros</t>
  </si>
  <si>
    <t xml:space="preserve">Salaire net mensuel en euros (moyenne sur 12 mois)</t>
  </si>
  <si>
    <t xml:space="preserve">3. Impôt en France (barème 2026, quotient familial)</t>
  </si>
  <si>
    <t xml:space="preserve">Salaire suisse après cotisations, en euros</t>
  </si>
  <si>
    <t xml:space="preserve">Abattement de 10 % pour frais professionnels</t>
  </si>
  <si>
    <t xml:space="preserve">Salaire suisse net imposable en France</t>
  </si>
  <si>
    <t xml:space="preserve">Revenu net imposable total du foyer</t>
  </si>
  <si>
    <t xml:space="preserve">Parts de base (sans enfant)</t>
  </si>
  <si>
    <t xml:space="preserve">Parts fiscales du foyer</t>
  </si>
  <si>
    <t xml:space="preserve">0,5 part par enfant pour les deux premiers, 1 part à partir du 3e (cas particuliers non modélisés).</t>
  </si>
  <si>
    <t xml:space="preserve">Impôt avec vos parts</t>
  </si>
  <si>
    <t xml:space="preserve">Impôt avec les parts de base (sans enfant)</t>
  </si>
  <si>
    <t xml:space="preserve">Impôt après plafonnement du quotient familial</t>
  </si>
  <si>
    <t xml:space="preserve">L'avantage lié aux enfants est plafonné par demi-part.</t>
  </si>
  <si>
    <t xml:space="preserve">Décote</t>
  </si>
  <si>
    <t xml:space="preserve">Impôt français calculé sur tous les revenus du foyer</t>
  </si>
  <si>
    <t xml:space="preserve">Impôt français réellement dû par le foyer</t>
  </si>
  <si>
    <t xml:space="preserve">Salaire imposé en Suisse : la France accorde un crédit d'impôt égal à l'impôt français sur ce salaire ; vos autres revenus restent imposés au taux effectif.</t>
  </si>
  <si>
    <t xml:space="preserve">…dont impôt français lié à votre salaire suisse</t>
  </si>
  <si>
    <t xml:space="preserve">4. Assurance maladie : LAMal ou CMU (1re année)</t>
  </si>
  <si>
    <t xml:space="preserve">Revenus pris en compte pour la CMU</t>
  </si>
  <si>
    <t xml:space="preserve">La cotisation réelle se calcule sur les revenus de l'avant-dernière année (N-2).</t>
  </si>
  <si>
    <t xml:space="preserve">Base de la cotisation CMU (après abattement)</t>
  </si>
  <si>
    <t xml:space="preserve">Coût annuel de la CMU (tout le foyer)</t>
  </si>
  <si>
    <t xml:space="preserve">Conjoint sans activité et enfants couverts sans supplément.</t>
  </si>
  <si>
    <t xml:space="preserve">Prime LAMal adulte retenue (CHF/mois)</t>
  </si>
  <si>
    <t xml:space="preserve">Coût annuel de la LAMal (chaque personne assurée)</t>
  </si>
  <si>
    <t xml:space="preserve">La moins chère la 1re année</t>
  </si>
  <si>
    <t xml:space="preserve">Écart la 1re année</t>
  </si>
  <si>
    <t xml:space="preserve">Projection sur 10 ans dans l'onglet « LAMal ou CMU ».</t>
  </si>
  <si>
    <t xml:space="preserve">5. Ce qui vous reste vraiment</t>
  </si>
  <si>
    <t xml:space="preserve">Impôt français lié au salaire suisse</t>
  </si>
  <si>
    <t xml:space="preserve">Assurance maladie retenue</t>
  </si>
  <si>
    <t xml:space="preserve">Reste annuel de votre salaire suisse</t>
  </si>
  <si>
    <t xml:space="preserve">Reste mensuel</t>
  </si>
  <si>
    <t xml:space="preserve">6. Points de vigilance</t>
  </si>
  <si>
    <t xml:space="preserve">Télétravail</t>
  </si>
  <si>
    <t xml:space="preserve">Choix LAMal / CMU</t>
  </si>
  <si>
    <t xml:space="preserve">Définitif</t>
  </si>
  <si>
    <t xml:space="preserve">Le choix se fait dans les 3 mois qui suivent le début du travail en Suisse et il est en principe irrévocable. Vérifiez auprès de la CPAM et des caisses LAMal avant de signer.</t>
  </si>
  <si>
    <t xml:space="preserve">Formulaire 2041-AS</t>
  </si>
  <si>
    <t xml:space="preserve">Cantons de l'accord de 1983 : sans attestation de résidence 2041-AS remise à l'employeur, celui-ci prélève l'impôt à la source.</t>
  </si>
  <si>
    <t xml:space="preserve">Calculs indicatifs fondés sur les règles publiées au 01/11/2026 (onglet « Paramètres »). Ils ne remplacent pas un conseil personnalisé d'un fiscaliste, de la CPAM, de l'Urssaf, d'une caisse LAMal ou de votre banque. Côté Frontalier n'est ni conseiller fiscal, ni intermédiaire en assurance, ni intermédiaire en crédit.</t>
  </si>
  <si>
    <t xml:space="preserve">LAMal ou CMU : le coût sur 10 ans</t>
  </si>
  <si>
    <t xml:space="preserve">Projection indicative avec les hausses supposées dans « Vos chiffres ». Montants en euros.</t>
  </si>
  <si>
    <t xml:space="preserve">Année</t>
  </si>
  <si>
    <t xml:space="preserve">CMU (foyer)</t>
  </si>
  <si>
    <t xml:space="preserve">LAMal (personnes assurées)</t>
  </si>
  <si>
    <t xml:space="preserve">CMU cumulée</t>
  </si>
  <si>
    <t xml:space="preserve">LAMal cumulée</t>
  </si>
  <si>
    <t xml:space="preserve">Écart cumulé (CMU – LAMal)</t>
  </si>
  <si>
    <t xml:space="preserve">Verdict sur 10 ans</t>
  </si>
  <si>
    <t xml:space="preserve">À savoir avant de choisir :</t>
  </si>
  <si>
    <t xml:space="preserve">• LAMal : chaque personne paie sa prime, quel que soit le revenu ; les primes augmentent presque chaque année.</t>
  </si>
  <si>
    <t xml:space="preserve">• CMU : une seule cotisation couvre le conjoint sans activité et les enfants ; elle suit vos revenus de l'avant-dernière année.</t>
  </si>
  <si>
    <t xml:space="preserve">• Le choix est en principe définitif : un changement de situation (enfants, revenus du conjoint, salaire) peut inverser le résultat.</t>
  </si>
  <si>
    <t xml:space="preserve">• Les remboursements diffèrent (soins en Suisse, complémentaire santé) : comparez aussi les garanties, pas seulement le prix.</t>
  </si>
  <si>
    <t xml:space="preserve">Calcul indicatif. Vérifiez auprès de la CPAM, de l'Urssaf et sur priminfo.admin.ch avant de décider.</t>
  </si>
  <si>
    <t xml:space="preserve">Votre budget logement côté France</t>
  </si>
  <si>
    <t xml:space="preserve">Calcul indicatif : 35 % d'endettement, taux assurance comprise, décote appliquée par les banques aux salaires en francs.</t>
  </si>
  <si>
    <t xml:space="preserve">1. Revenus retenus par la banque</t>
  </si>
  <si>
    <t xml:space="preserve">Salaire suisse net annuel en euros</t>
  </si>
  <si>
    <t xml:space="preserve">Décote de change saisie dans « Vos chiffres ».</t>
  </si>
  <si>
    <t xml:space="preserve">Salaire suisse retenu</t>
  </si>
  <si>
    <t xml:space="preserve">Autres revenus du foyer en France</t>
  </si>
  <si>
    <t xml:space="preserve">Impôt français du foyer</t>
  </si>
  <si>
    <t xml:space="preserve">Revenus annuels retenus</t>
  </si>
  <si>
    <t xml:space="preserve">Revenus mensuels retenus</t>
  </si>
  <si>
    <t xml:space="preserve">2. Ce que vous pouvez emprunter</t>
  </si>
  <si>
    <t xml:space="preserve">Mensualité maximale (35 %, crédits en cours déduits)</t>
  </si>
  <si>
    <t xml:space="preserve">Taux du crédit, assurance comprise</t>
  </si>
  <si>
    <t xml:space="preserve">Durée (années)</t>
  </si>
  <si>
    <t xml:space="preserve">Montant que vous pourriez emprunter</t>
  </si>
  <si>
    <t xml:space="preserve">Coût total des intérêts et de l'assurance</t>
  </si>
  <si>
    <t xml:space="preserve">Apport personnel</t>
  </si>
  <si>
    <t xml:space="preserve">Budget total (emprunt + apport)</t>
  </si>
  <si>
    <t xml:space="preserve">3. Le logement possible</t>
  </si>
  <si>
    <t xml:space="preserve">Prix du logement possible (frais d'achat déduits)</t>
  </si>
  <si>
    <t xml:space="preserve">Commune visée</t>
  </si>
  <si>
    <t xml:space="preserve">Prix moyen au m² saisi</t>
  </si>
  <si>
    <t xml:space="preserve">Surface possible dans la commune visée</t>
  </si>
  <si>
    <t xml:space="preserve">Comparez les prix réels de chaque commune sur habitercotefrancais.fr/suisse/communes/</t>
  </si>
  <si>
    <t xml:space="preserve">Calcul indicatif : chaque banque applique ses propres règles (décote, reste à vivre, apport minimum). Il ne remplace pas l'étude de votre banque ou d'un courtier.</t>
  </si>
  <si>
    <t xml:space="preserve">Paramètres officiels utilisés par le simulateur</t>
  </si>
  <si>
    <t xml:space="preserve">Valeurs relevées le 01/11/2026. Elles changent chaque année : mettez à jour les cases jaunes avec la source indiquée sur chaque ligne.</t>
  </si>
  <si>
    <t xml:space="preserve">Paramètre</t>
  </si>
  <si>
    <t xml:space="preserve">Valeur</t>
  </si>
  <si>
    <t xml:space="preserve">Source et date du relevé</t>
  </si>
  <si>
    <t xml:space="preserve">AVS / AI / APG – part salarié</t>
  </si>
  <si>
    <t xml:space="preserve">5,3 % salarié + 5,3 % employeur, sans plafond. OFAS / Swissmem « Assurances sociales 2026 » (swissmem.ch, relevé le 01/11/2026) ; montants LPP : OFAS « Montants valables dès le 1er janvier 2026 » (bsv.admin.ch).</t>
  </si>
  <si>
    <t xml:space="preserve">Assurance chômage (AC) – part salarié</t>
  </si>
  <si>
    <t xml:space="preserve">1,1 % jusqu'au plafond ci-dessous (plus de cotisation de solidarité au-delà depuis 2023). OFAS / Swissmem « Assurances sociales 2026 » (swissmem.ch, relevé le 01/11/2026) ; montants LPP : OFAS « Montants valables dès le 1er janvier 2026 » (bsv.admin.ch).</t>
  </si>
  <si>
    <t xml:space="preserve">Plafond annuel de salaire soumis à l'AC</t>
  </si>
  <si>
    <t xml:space="preserve">OFAS / Swissmem « Assurances sociales 2026 » (swissmem.ch, relevé le 01/11/2026) ; montants LPP : OFAS « Montants valables dès le 1er janvier 2026 » (bsv.admin.ch).</t>
  </si>
  <si>
    <t xml:space="preserve">LPP – seuil d'entrée (salaire annuel)</t>
  </si>
  <si>
    <t xml:space="preserve">OFAS, montants LPP 2026 (bsv.admin.ch), relevé le 01/11/2026.</t>
  </si>
  <si>
    <t xml:space="preserve">LPP – déduction de coordination</t>
  </si>
  <si>
    <t xml:space="preserve">OFAS, montants LPP 2026.</t>
  </si>
  <si>
    <t xml:space="preserve">LPP – salaire coordonné minimum</t>
  </si>
  <si>
    <t xml:space="preserve">LPP – salaire annuel maximal assuré</t>
  </si>
  <si>
    <t xml:space="preserve">OFAS, montants LPP 2026 (salaire coordonné maximal = 90 720 – 26 460 = 64 260 CHF).</t>
  </si>
  <si>
    <t xml:space="preserve">LPP – bonification 25-34 ans</t>
  </si>
  <si>
    <t xml:space="preserve">Art. 16 LPP (minimum légal, salarié + employeur, en % du salaire coordonné).</t>
  </si>
  <si>
    <t xml:space="preserve">LPP – bonification 35-44 ans</t>
  </si>
  <si>
    <t xml:space="preserve">Art. 16 LPP.</t>
  </si>
  <si>
    <t xml:space="preserve">LPP – bonification 45-54 ans</t>
  </si>
  <si>
    <t xml:space="preserve">LPP – bonification 55-65 ans</t>
  </si>
  <si>
    <t xml:space="preserve">LPP – part payée par le salarié</t>
  </si>
  <si>
    <t xml:space="preserve">Art. 66 LPP : l'employeur paie au moins la moitié. Beaucoup de caisses prélèvent plus que le minimum : voir votre certificat de prévoyance.</t>
  </si>
  <si>
    <t xml:space="preserve">AANP – accidents non professionnels (hypothèse)</t>
  </si>
  <si>
    <t xml:space="preserve">Hypothèse : il n'existe pas de taux officiel unique, le taux AANP dépend de l'assureur de l'employeur (souvent 0,7 % à 1,5 %). Remplacez par celui de votre fiche de paie.</t>
  </si>
  <si>
    <t xml:space="preserve">Perte de gain maladie (IJM, hypothèse)</t>
  </si>
  <si>
    <t xml:space="preserve">Hypothèse : assurance facultative, taux propre à chaque employeur (fiche de paie).</t>
  </si>
  <si>
    <t xml:space="preserve">Barème de l'impôt sur le revenu en France (impôt 2026 sur les revenus 2025)</t>
  </si>
  <si>
    <t xml:space="preserve">Tranche</t>
  </si>
  <si>
    <t xml:space="preserve">À partir de (€ par part)</t>
  </si>
  <si>
    <t xml:space="preserve">Taux</t>
  </si>
  <si>
    <t xml:space="preserve">Incrément</t>
  </si>
  <si>
    <t xml:space="preserve">Tranche 0 %</t>
  </si>
  <si>
    <t xml:space="preserve">Loi de finances pour 2026, art. 4 (tranches revalorisées de 0,9 %) ; BOFiP BOI-IR-LIQ-20-10 du 07/04/2026 (legifiscal.fr, relevé le 01/11/2026).</t>
  </si>
  <si>
    <t xml:space="preserve">Tranche 11 %</t>
  </si>
  <si>
    <t xml:space="preserve">Le barème applicable aux revenus 2026 sera fixé par la loi de finances pour 2027 : mettez-le à jour dès sa publication.</t>
  </si>
  <si>
    <t xml:space="preserve">Tranche 30 %</t>
  </si>
  <si>
    <t xml:space="preserve">Tranche 41 %</t>
  </si>
  <si>
    <t xml:space="preserve">Tranche 45 %</t>
  </si>
  <si>
    <t xml:space="preserve">Plafond de l'avantage du quotient familial (par demi-part)</t>
  </si>
  <si>
    <t xml:space="preserve">BOFiP / legifiscal.fr, impôt 2026 (relevé le 01/11/2026).</t>
  </si>
  <si>
    <t xml:space="preserve">Abattement forfaitaire pour frais professionnels</t>
  </si>
  <si>
    <t xml:space="preserve">Art. 83 CGI : 10 % du salaire net imposable, sauf option pour les frais réels.</t>
  </si>
  <si>
    <t xml:space="preserve">Abattement 10 % – minimum</t>
  </si>
  <si>
    <t xml:space="preserve">Déclaration 2026 des revenus 2025 (weblex.fr, relevé le 01/11/2026).</t>
  </si>
  <si>
    <t xml:space="preserve">Abattement 10 % – maximum</t>
  </si>
  <si>
    <t xml:space="preserve">Déclaration 2026 des revenus 2025 (weblex.fr).</t>
  </si>
  <si>
    <t xml:space="preserve">Décote – plafond personne seule</t>
  </si>
  <si>
    <t xml:space="preserve">Impôt 2026 (legifiscal.fr) : décote = 897 € – 45,25 % de l'impôt.</t>
  </si>
  <si>
    <t xml:space="preserve">Décote – plafond couple</t>
  </si>
  <si>
    <t xml:space="preserve">Impôt 2026 (legifiscal.fr) : décote = 1 483 € – 45,25 % de l'impôt.</t>
  </si>
  <si>
    <t xml:space="preserve">Décote – coefficient</t>
  </si>
  <si>
    <t xml:space="preserve">Impôt 2026 (legifiscal.fr).</t>
  </si>
  <si>
    <t xml:space="preserve">Plafond annuel de la Sécurité sociale (PASS) 2026</t>
  </si>
  <si>
    <t xml:space="preserve">Arrêté du 22/12/2025 : 48 060 € au 01/01/2026 (Lefebvre Dalloz, legisocial.fr, relevé le 01/11/2026).</t>
  </si>
  <si>
    <t xml:space="preserve">Abattement de la cotisation CMU (25 % du PASS)</t>
  </si>
  <si>
    <t xml:space="preserve">Calculé : 12 015 € en 2026 (mode de calcul Urssaf des frontaliers suisses, repris par ibani.com, relevé le 01/11/2026).</t>
  </si>
  <si>
    <t xml:space="preserve">Taux de la cotisation CMU (PUMa) des frontaliers suisses</t>
  </si>
  <si>
    <t xml:space="preserve">8 % depuis le 01/01/2016 (art. L380-3-1 CSS). Cotisation = (revenus de l'avant-dernière année – abattement) × 8 % ; elle est déductible de l'impôt (case 6DD).</t>
  </si>
  <si>
    <t xml:space="preserve">Taux d'endettement maximal des banques</t>
  </si>
  <si>
    <t xml:space="preserve">Norme HCSF, assurance emprunteur comprise.</t>
  </si>
  <si>
    <t xml:space="preserve">Frais d'achat (notaire, ancien)</t>
  </si>
  <si>
    <t xml:space="preserve">Ordre de grandeur pour un logement ancien ; environ 2 à 3 % dans le neuf.</t>
  </si>
  <si>
    <t xml:space="preserve">Limite de télétravail sans changer de régime fiscal</t>
  </si>
  <si>
    <t xml:space="preserve">Avenant à la convention fiscale France-Suisse, en vigueur au 01/01/2026 (ge.ch, communiqué du 29/07/2025).</t>
  </si>
  <si>
    <t xml:space="preserve">Cantons : où est payé l'impôt et prime LAMal indicative (frontalier résidant en France)</t>
  </si>
  <si>
    <t xml:space="preserve">Où est payé l'impôt</t>
  </si>
  <si>
    <t xml:space="preserve">Prime LAMal adulte (CHF/mois)</t>
  </si>
  <si>
    <t xml:space="preserve">Impôt à la source indicatif</t>
  </si>
  <si>
    <t xml:space="preserve">Source et remarque</t>
  </si>
  <si>
    <t xml:space="preserve">Source</t>
  </si>
  <si>
    <t xml:space="preserve">Impôt prélevé à la source (barèmes A, B, C, H de l'Administration fiscale cantonale, ge.ch). 10 % = ordre de grandeur pour un salaire moyen, à remplacer par le taux de votre fiche de paie. Prime : ordre de grandeur, à vérifier sur priminfo.admin.ch.</t>
  </si>
  <si>
    <t xml:space="preserve">Vaud</t>
  </si>
  <si>
    <t xml:space="preserve">France</t>
  </si>
  <si>
    <t xml:space="preserve">Accord du 11/04/1983 : imposé en France si vous rentrez chaque jour (attestation 2041-AS à remettre à l'employeur).</t>
  </si>
  <si>
    <t xml:space="preserve">Valais</t>
  </si>
  <si>
    <t xml:space="preserve">Accord de 1983.</t>
  </si>
  <si>
    <t xml:space="preserve">Neuchâtel</t>
  </si>
  <si>
    <t xml:space="preserve">Jura</t>
  </si>
  <si>
    <t xml:space="preserve">Berne</t>
  </si>
  <si>
    <t xml:space="preserve">Bâle-Ville</t>
  </si>
  <si>
    <t xml:space="preserve">Bâle-Campagne</t>
  </si>
  <si>
    <t xml:space="preserve">Soleure</t>
  </si>
  <si>
    <t xml:space="preserve">Autre canton (à la source)</t>
  </si>
  <si>
    <t xml:space="preserve">Hors accord de 1983 (Zurich, Fribourg, Tessin…) : impôt à la source. Remplacez par votre taux réel.</t>
  </si>
  <si>
    <t xml:space="preserve">Les primes LAMal « pays UE – France » varient selon la caisse, la franchise et l'âge : comparez sur le site officiel priminfo.admin.ch avant de décider.</t>
  </si>
</sst>
</file>

<file path=xl/styles.xml><?xml version="1.0" encoding="utf-8"?>
<styleSheet xmlns="http://schemas.openxmlformats.org/spreadsheetml/2006/main">
  <numFmts count="10">
    <numFmt numFmtId="164" formatCode="General"/>
    <numFmt numFmtId="165" formatCode="#,##0&quot; CHF&quot;;\-#,##0&quot; CHF&quot;;\-"/>
    <numFmt numFmtId="166" formatCode="0"/>
    <numFmt numFmtId="167" formatCode="#,##0&quot; €&quot;;\-#,##0&quot; €&quot;;\-"/>
    <numFmt numFmtId="168" formatCode="0.0%;\-0.0%;\-"/>
    <numFmt numFmtId="169" formatCode="0.0000"/>
    <numFmt numFmtId="170" formatCode="0.00%"/>
    <numFmt numFmtId="171" formatCode="0.0"/>
    <numFmt numFmtId="172" formatCode="#,##0&quot; m²&quot;"/>
    <numFmt numFmtId="173" formatCode="#,##0&quot; €&quot;"/>
  </numFmts>
  <fonts count="13">
    <font>
      <sz val="11"/>
      <color theme="1"/>
      <name val="Calibri"/>
      <family val="2"/>
      <charset val="1"/>
    </font>
    <font>
      <sz val="10"/>
      <name val="Arial"/>
      <family val="0"/>
    </font>
    <font>
      <sz val="10"/>
      <name val="Arial"/>
      <family val="0"/>
    </font>
    <font>
      <sz val="10"/>
      <name val="Arial"/>
      <family val="0"/>
    </font>
    <font>
      <b val="true"/>
      <sz val="20"/>
      <color rgb="FF1F3A5F"/>
      <name val="Arial"/>
      <family val="0"/>
      <charset val="1"/>
    </font>
    <font>
      <b val="true"/>
      <sz val="10"/>
      <name val="Arial"/>
      <family val="0"/>
      <charset val="1"/>
    </font>
    <font>
      <i val="true"/>
      <sz val="9"/>
      <color rgb="FF555555"/>
      <name val="Arial"/>
      <family val="0"/>
      <charset val="1"/>
    </font>
    <font>
      <b val="true"/>
      <sz val="12"/>
      <color rgb="FF1F3A5F"/>
      <name val="Arial"/>
      <family val="0"/>
      <charset val="1"/>
    </font>
    <font>
      <sz val="10"/>
      <name val="Arial"/>
      <family val="0"/>
      <charset val="1"/>
    </font>
    <font>
      <b val="true"/>
      <sz val="16"/>
      <color rgb="FF1F3A5F"/>
      <name val="Arial"/>
      <family val="0"/>
      <charset val="1"/>
    </font>
    <font>
      <b val="true"/>
      <sz val="11"/>
      <color rgb="FFFFFFFF"/>
      <name val="Arial"/>
      <family val="0"/>
      <charset val="1"/>
    </font>
    <font>
      <b val="true"/>
      <sz val="10"/>
      <color rgb="FF0000FF"/>
      <name val="Arial"/>
      <family val="0"/>
      <charset val="1"/>
    </font>
    <font>
      <b val="true"/>
      <sz val="10"/>
      <color rgb="FFB00020"/>
      <name val="Arial"/>
      <family val="0"/>
      <charset val="1"/>
    </font>
  </fonts>
  <fills count="6">
    <fill>
      <patternFill patternType="none"/>
    </fill>
    <fill>
      <patternFill patternType="gray125"/>
    </fill>
    <fill>
      <patternFill patternType="solid">
        <fgColor rgb="FFFDECEA"/>
        <bgColor rgb="FFFFFFFF"/>
      </patternFill>
    </fill>
    <fill>
      <patternFill patternType="solid">
        <fgColor rgb="FF1F3A5F"/>
        <bgColor rgb="FF333333"/>
      </patternFill>
    </fill>
    <fill>
      <patternFill patternType="solid">
        <fgColor rgb="FFFFF59D"/>
        <bgColor rgb="FFFDECEA"/>
      </patternFill>
    </fill>
    <fill>
      <patternFill patternType="solid">
        <fgColor rgb="FFE3F2FD"/>
        <bgColor rgb="FFCCFFFF"/>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4" fontId="11" fillId="4" borderId="1" xfId="0" applyFont="true" applyBorder="true" applyAlignment="false" applyProtection="true">
      <alignment horizontal="general" vertical="bottom" textRotation="0" wrapText="false" indent="0" shrinkToFit="false"/>
      <protection locked="false" hidden="false"/>
    </xf>
    <xf numFmtId="165" fontId="11" fillId="4" borderId="1" xfId="0" applyFont="true" applyBorder="true" applyAlignment="false" applyProtection="true">
      <alignment horizontal="general" vertical="bottom" textRotation="0" wrapText="false" indent="0" shrinkToFit="false"/>
      <protection locked="false" hidden="false"/>
    </xf>
    <xf numFmtId="166" fontId="11" fillId="4" borderId="1" xfId="0" applyFont="true" applyBorder="true" applyAlignment="false" applyProtection="true">
      <alignment horizontal="general" vertical="bottom" textRotation="0" wrapText="false" indent="0" shrinkToFit="false"/>
      <protection locked="false" hidden="false"/>
    </xf>
    <xf numFmtId="167" fontId="11" fillId="4" borderId="1" xfId="0" applyFont="true" applyBorder="true" applyAlignment="false" applyProtection="true">
      <alignment horizontal="general" vertical="bottom" textRotation="0" wrapText="false" indent="0" shrinkToFit="false"/>
      <protection locked="false" hidden="false"/>
    </xf>
    <xf numFmtId="168" fontId="11" fillId="4" borderId="1" xfId="0" applyFont="true" applyBorder="true" applyAlignment="false" applyProtection="true">
      <alignment horizontal="general" vertical="bottom" textRotation="0" wrapText="false" indent="0" shrinkToFit="false"/>
      <protection locked="false" hidden="false"/>
    </xf>
    <xf numFmtId="169" fontId="11" fillId="4" borderId="1" xfId="0" applyFont="true" applyBorder="true" applyAlignment="false" applyProtection="true">
      <alignment horizontal="general" vertical="bottom" textRotation="0" wrapText="false" indent="0" shrinkToFit="false"/>
      <protection locked="false" hidden="false"/>
    </xf>
    <xf numFmtId="170" fontId="11" fillId="4" borderId="1" xfId="0" applyFont="true" applyBorder="true" applyAlignment="false" applyProtection="true">
      <alignment horizontal="general" vertical="bottom" textRotation="0" wrapText="false" indent="0" shrinkToFit="false"/>
      <protection locked="fals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4" fontId="5" fillId="5" borderId="0" xfId="0" applyFont="true" applyBorder="false" applyAlignment="false" applyProtection="false">
      <alignment horizontal="general" vertical="bottom" textRotation="0" wrapText="false" indent="0" shrinkToFit="false"/>
      <protection locked="true" hidden="false"/>
    </xf>
    <xf numFmtId="167" fontId="7" fillId="5"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64" fontId="7" fillId="5"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top" textRotation="0" wrapText="tru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7" fillId="5" borderId="0" xfId="0" applyFont="true" applyBorder="true" applyAlignment="true" applyProtection="false">
      <alignment horizontal="general" vertical="top" textRotation="0" wrapText="tru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2" fontId="7" fillId="5" borderId="0" xfId="0" applyFont="true" applyBorder="false" applyAlignment="false" applyProtection="false">
      <alignment horizontal="general" vertical="bottom" textRotation="0" wrapText="false" indent="0" shrinkToFit="false"/>
      <protection locked="true" hidden="false"/>
    </xf>
    <xf numFmtId="173" fontId="11" fillId="4" borderId="1" xfId="0" applyFont="true" applyBorder="true" applyAlignment="false" applyProtection="true">
      <alignment horizontal="general" vertical="bottom" textRotation="0" wrapText="fals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BBBBBB"/>
      <rgbColor rgb="FF808080"/>
      <rgbColor rgb="FF9999FF"/>
      <rgbColor rgb="FF993366"/>
      <rgbColor rgb="FFFDECEA"/>
      <rgbColor rgb="FFE3F2F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59D"/>
      <rgbColor rgb="FF99CCFF"/>
      <rgbColor rgb="FFFF99CC"/>
      <rgbColor rgb="FFCC99FF"/>
      <rgbColor rgb="FFFFCC99"/>
      <rgbColor rgb="FF3366FF"/>
      <rgbColor rgb="FF33CCCC"/>
      <rgbColor rgb="FF99CC00"/>
      <rgbColor rgb="FFFFCC00"/>
      <rgbColor rgb="FFFF9900"/>
      <rgbColor rgb="FFFF6600"/>
      <rgbColor rgb="FF555555"/>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4.45"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t="s">
        <v>2</v>
      </c>
    </row>
    <row r="5" customFormat="false" ht="15" hidden="false" customHeight="false" outlineLevel="0" collapsed="false">
      <c r="B5" s="4" t="s">
        <v>3</v>
      </c>
    </row>
    <row r="6" customFormat="false" ht="15" hidden="false" customHeight="false" outlineLevel="0" collapsed="false">
      <c r="B6" s="5" t="s">
        <v>4</v>
      </c>
    </row>
    <row r="7" customFormat="false" ht="15" hidden="false" customHeight="false" outlineLevel="0" collapsed="false">
      <c r="B7" s="5" t="s">
        <v>5</v>
      </c>
    </row>
    <row r="8" customFormat="false" ht="15" hidden="false" customHeight="false" outlineLevel="0" collapsed="false">
      <c r="B8" s="5" t="s">
        <v>6</v>
      </c>
    </row>
    <row r="9" customFormat="false" ht="15" hidden="false" customHeight="false" outlineLevel="0" collapsed="false">
      <c r="B9" s="5" t="s">
        <v>7</v>
      </c>
    </row>
    <row r="10" customFormat="false" ht="15" hidden="false" customHeight="false" outlineLevel="0" collapsed="false">
      <c r="B10" s="5" t="s">
        <v>8</v>
      </c>
    </row>
    <row r="11" customFormat="false" ht="15" hidden="false" customHeight="false" outlineLevel="0" collapsed="false">
      <c r="B11" s="5"/>
    </row>
    <row r="12" customFormat="false" ht="15" hidden="false" customHeight="false" outlineLevel="0" collapsed="false">
      <c r="B12" s="4" t="s">
        <v>9</v>
      </c>
    </row>
    <row r="13" customFormat="false" ht="15" hidden="false" customHeight="false" outlineLevel="0" collapsed="false">
      <c r="B13" s="5" t="s">
        <v>10</v>
      </c>
    </row>
    <row r="14" customFormat="false" ht="15" hidden="false" customHeight="false" outlineLevel="0" collapsed="false">
      <c r="B14" s="5" t="s">
        <v>11</v>
      </c>
    </row>
    <row r="15" customFormat="false" ht="15" hidden="false" customHeight="false" outlineLevel="0" collapsed="false">
      <c r="B15" s="5" t="s">
        <v>12</v>
      </c>
    </row>
    <row r="16" customFormat="false" ht="15" hidden="false" customHeight="false" outlineLevel="0" collapsed="false">
      <c r="B16" s="3" t="s">
        <v>13</v>
      </c>
    </row>
    <row r="17" customFormat="false" ht="15" hidden="false" customHeight="false" outlineLevel="0" collapsed="false">
      <c r="B17" s="5"/>
    </row>
    <row r="18" customFormat="false" ht="15" hidden="false" customHeight="false" outlineLevel="0" collapsed="false">
      <c r="B18" s="4" t="s">
        <v>14</v>
      </c>
    </row>
    <row r="19" customFormat="false" ht="124.5" hidden="false" customHeight="true" outlineLevel="0" collapsed="false">
      <c r="B19" s="6" t="s">
        <v>15</v>
      </c>
    </row>
    <row r="21" customFormat="false" ht="15" hidden="false" customHeight="false" outlineLevel="0" collapsed="false">
      <c r="B21" s="4" t="s">
        <v>16</v>
      </c>
    </row>
    <row r="22" customFormat="false" ht="15" hidden="false" customHeight="false" outlineLevel="0" collapsed="false">
      <c r="B22" s="5" t="s">
        <v>17</v>
      </c>
    </row>
    <row r="23" customFormat="false" ht="15" hidden="false" customHeight="false" outlineLevel="0" collapsed="false">
      <c r="B23" s="5" t="s">
        <v>18</v>
      </c>
    </row>
    <row r="24" customFormat="false" ht="15" hidden="false" customHeight="false" outlineLevel="0" collapsed="false">
      <c r="B24" s="5" t="s">
        <v>19</v>
      </c>
    </row>
    <row r="25" customFormat="false" ht="15" hidden="false" customHeight="false" outlineLevel="0" collapsed="false">
      <c r="B25" s="5" t="s">
        <v>20</v>
      </c>
    </row>
    <row r="26" customFormat="false" ht="15" hidden="false" customHeight="false" outlineLevel="0" collapsed="false">
      <c r="B26" s="5" t="s">
        <v>21</v>
      </c>
    </row>
    <row r="27" customFormat="false" ht="15" hidden="false" customHeight="false" outlineLevel="0" collapsed="false">
      <c r="B27" s="5" t="s">
        <v>22</v>
      </c>
    </row>
    <row r="28" customFormat="false" ht="15" hidden="false" customHeight="false" outlineLevel="0" collapsed="false">
      <c r="B28" s="5" t="s">
        <v>23</v>
      </c>
    </row>
    <row r="29" customFormat="false" ht="15" hidden="false" customHeight="false" outlineLevel="0" collapsed="false">
      <c r="B29" s="5" t="s">
        <v>24</v>
      </c>
    </row>
    <row r="31" customFormat="false" ht="15" hidden="false" customHeight="false" outlineLevel="0" collapsed="false">
      <c r="B31" s="2" t="s">
        <v>25</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8"/>
    <col collapsed="false" customWidth="true" hidden="false" outlineLevel="0" max="3" min="3" style="0" width="22"/>
    <col collapsed="false" customWidth="true" hidden="false" outlineLevel="0" max="4" min="4" style="0" width="80"/>
  </cols>
  <sheetData>
    <row r="1" customFormat="false" ht="19.7" hidden="false" customHeight="false" outlineLevel="0" collapsed="false">
      <c r="B1" s="7" t="s">
        <v>26</v>
      </c>
    </row>
    <row r="2" customFormat="false" ht="15" hidden="false" customHeight="false" outlineLevel="0" collapsed="false">
      <c r="B2" s="3" t="s">
        <v>27</v>
      </c>
    </row>
    <row r="4" customFormat="false" ht="15" hidden="false" customHeight="false" outlineLevel="0" collapsed="false">
      <c r="A4" s="8"/>
      <c r="B4" s="8" t="s">
        <v>28</v>
      </c>
      <c r="C4" s="8" t="s">
        <v>29</v>
      </c>
      <c r="D4" s="8" t="s">
        <v>30</v>
      </c>
    </row>
    <row r="5" customFormat="false" ht="15" hidden="false" customHeight="false" outlineLevel="0" collapsed="false">
      <c r="B5" s="5" t="s">
        <v>31</v>
      </c>
      <c r="C5" s="9" t="s">
        <v>32</v>
      </c>
      <c r="D5" s="3" t="s">
        <v>33</v>
      </c>
    </row>
    <row r="6" customFormat="false" ht="15" hidden="false" customHeight="false" outlineLevel="0" collapsed="false">
      <c r="B6" s="5" t="s">
        <v>34</v>
      </c>
      <c r="C6" s="10" t="n">
        <v>7000</v>
      </c>
      <c r="D6" s="3" t="s">
        <v>35</v>
      </c>
    </row>
    <row r="7" customFormat="false" ht="15" hidden="false" customHeight="false" outlineLevel="0" collapsed="false">
      <c r="B7" s="5" t="s">
        <v>36</v>
      </c>
      <c r="C7" s="11" t="n">
        <v>13</v>
      </c>
      <c r="D7" s="3" t="s">
        <v>37</v>
      </c>
    </row>
    <row r="8" customFormat="false" ht="15" hidden="false" customHeight="false" outlineLevel="0" collapsed="false">
      <c r="B8" s="5" t="s">
        <v>38</v>
      </c>
      <c r="C8" s="11" t="n">
        <v>35</v>
      </c>
      <c r="D8" s="3" t="s">
        <v>39</v>
      </c>
    </row>
    <row r="9" customFormat="false" ht="15" hidden="false" customHeight="false" outlineLevel="0" collapsed="false">
      <c r="B9" s="5" t="s">
        <v>40</v>
      </c>
      <c r="C9" s="9" t="s">
        <v>41</v>
      </c>
      <c r="D9" s="3" t="s">
        <v>42</v>
      </c>
    </row>
    <row r="10" customFormat="false" ht="15" hidden="false" customHeight="false" outlineLevel="0" collapsed="false">
      <c r="B10" s="5" t="s">
        <v>43</v>
      </c>
      <c r="C10" s="11" t="n">
        <v>0</v>
      </c>
      <c r="D10" s="3" t="s">
        <v>44</v>
      </c>
    </row>
    <row r="11" customFormat="false" ht="15" hidden="false" customHeight="false" outlineLevel="0" collapsed="false">
      <c r="B11" s="5" t="s">
        <v>45</v>
      </c>
      <c r="C11" s="12" t="n">
        <v>0</v>
      </c>
      <c r="D11" s="3" t="s">
        <v>46</v>
      </c>
    </row>
    <row r="12" customFormat="false" ht="15" hidden="false" customHeight="false" outlineLevel="0" collapsed="false">
      <c r="B12" s="5" t="s">
        <v>47</v>
      </c>
      <c r="C12" s="12" t="n">
        <v>0</v>
      </c>
      <c r="D12" s="3" t="s">
        <v>48</v>
      </c>
    </row>
    <row r="13" customFormat="false" ht="15" hidden="false" customHeight="false" outlineLevel="0" collapsed="false">
      <c r="B13" s="5" t="s">
        <v>49</v>
      </c>
      <c r="C13" s="13"/>
      <c r="D13" s="3" t="s">
        <v>50</v>
      </c>
    </row>
    <row r="14" customFormat="false" ht="15" hidden="false" customHeight="false" outlineLevel="0" collapsed="false">
      <c r="B14" s="5" t="s">
        <v>51</v>
      </c>
      <c r="C14" s="11" t="n">
        <v>1</v>
      </c>
      <c r="D14" s="3" t="s">
        <v>52</v>
      </c>
    </row>
    <row r="15" customFormat="false" ht="15" hidden="false" customHeight="false" outlineLevel="0" collapsed="false">
      <c r="B15" s="5" t="s">
        <v>53</v>
      </c>
      <c r="C15" s="10"/>
      <c r="D15" s="3" t="s">
        <v>54</v>
      </c>
    </row>
    <row r="16" customFormat="false" ht="15" hidden="false" customHeight="false" outlineLevel="0" collapsed="false">
      <c r="B16" s="5" t="s">
        <v>55</v>
      </c>
      <c r="C16" s="10" t="n">
        <v>90</v>
      </c>
      <c r="D16" s="3" t="s">
        <v>56</v>
      </c>
    </row>
    <row r="17" customFormat="false" ht="15" hidden="false" customHeight="false" outlineLevel="0" collapsed="false">
      <c r="B17" s="5" t="s">
        <v>57</v>
      </c>
      <c r="C17" s="14" t="n">
        <v>1.08</v>
      </c>
      <c r="D17" s="3" t="s">
        <v>58</v>
      </c>
    </row>
    <row r="18" customFormat="false" ht="15" hidden="false" customHeight="false" outlineLevel="0" collapsed="false">
      <c r="B18" s="5" t="s">
        <v>59</v>
      </c>
      <c r="C18" s="9" t="s">
        <v>60</v>
      </c>
      <c r="D18" s="3" t="s">
        <v>61</v>
      </c>
    </row>
    <row r="19" customFormat="false" ht="15" hidden="false" customHeight="false" outlineLevel="0" collapsed="false">
      <c r="B19" s="5" t="s">
        <v>62</v>
      </c>
      <c r="C19" s="13" t="n">
        <v>0.04</v>
      </c>
      <c r="D19" s="3" t="s">
        <v>63</v>
      </c>
    </row>
    <row r="20" customFormat="false" ht="15" hidden="false" customHeight="false" outlineLevel="0" collapsed="false">
      <c r="B20" s="5" t="s">
        <v>64</v>
      </c>
      <c r="C20" s="13" t="n">
        <v>0.01</v>
      </c>
      <c r="D20" s="3" t="s">
        <v>65</v>
      </c>
    </row>
    <row r="21" customFormat="false" ht="15" hidden="false" customHeight="false" outlineLevel="0" collapsed="false">
      <c r="B21" s="5" t="s">
        <v>66</v>
      </c>
      <c r="C21" s="13" t="n">
        <v>0.2</v>
      </c>
      <c r="D21" s="3" t="s">
        <v>67</v>
      </c>
    </row>
    <row r="22" customFormat="false" ht="15" hidden="false" customHeight="false" outlineLevel="0" collapsed="false">
      <c r="B22" s="5" t="s">
        <v>68</v>
      </c>
      <c r="C22" s="9" t="s">
        <v>69</v>
      </c>
      <c r="D22" s="3" t="s">
        <v>70</v>
      </c>
    </row>
    <row r="23" customFormat="false" ht="15" hidden="false" customHeight="false" outlineLevel="0" collapsed="false">
      <c r="B23" s="5" t="s">
        <v>71</v>
      </c>
      <c r="C23" s="12" t="n">
        <v>4500</v>
      </c>
      <c r="D23" s="3" t="s">
        <v>72</v>
      </c>
    </row>
    <row r="24" customFormat="false" ht="15" hidden="false" customHeight="false" outlineLevel="0" collapsed="false">
      <c r="B24" s="5" t="s">
        <v>73</v>
      </c>
      <c r="C24" s="12" t="n">
        <v>30000</v>
      </c>
      <c r="D24" s="3"/>
    </row>
    <row r="25" customFormat="false" ht="15" hidden="false" customHeight="false" outlineLevel="0" collapsed="false">
      <c r="B25" s="5" t="s">
        <v>74</v>
      </c>
      <c r="C25" s="12" t="n">
        <v>0</v>
      </c>
      <c r="D25" s="3" t="s">
        <v>75</v>
      </c>
    </row>
    <row r="26" customFormat="false" ht="15" hidden="false" customHeight="false" outlineLevel="0" collapsed="false">
      <c r="B26" s="5" t="s">
        <v>76</v>
      </c>
      <c r="C26" s="15" t="n">
        <v>0.0385</v>
      </c>
      <c r="D26" s="3" t="s">
        <v>77</v>
      </c>
    </row>
    <row r="27" customFormat="false" ht="15" hidden="false" customHeight="false" outlineLevel="0" collapsed="false">
      <c r="B27" s="5" t="s">
        <v>78</v>
      </c>
      <c r="C27" s="11" t="n">
        <v>25</v>
      </c>
      <c r="D27" s="3" t="s">
        <v>79</v>
      </c>
    </row>
    <row r="28" customFormat="false" ht="15" hidden="false" customHeight="false" outlineLevel="0" collapsed="false">
      <c r="B28" s="5" t="s">
        <v>80</v>
      </c>
      <c r="C28" s="13" t="n">
        <v>0.85</v>
      </c>
      <c r="D28" s="3" t="s">
        <v>81</v>
      </c>
    </row>
    <row r="30" customFormat="false" ht="15" hidden="false" customHeight="false" outlineLevel="0" collapsed="false">
      <c r="B30" s="2" t="s">
        <v>82</v>
      </c>
    </row>
    <row r="31" customFormat="false" ht="15" hidden="false" customHeight="false" outlineLevel="0" collapsed="false">
      <c r="B31" s="3" t="s">
        <v>83</v>
      </c>
    </row>
  </sheetData>
  <sheetProtection sheet="true" formatColumns="false" formatRows="false"/>
  <dataValidations count="9">
    <dataValidation allowBlank="false" errorStyle="stop" operator="between" showDropDown="false" showErrorMessage="false" showInputMessage="false" sqref="C5" type="list">
      <formula1>Paramètres!$A$45:$A$54</formula1>
      <formula2>0</formula2>
    </dataValidation>
    <dataValidation allowBlank="false" errorStyle="stop" operator="between" showDropDown="false" showErrorMessage="false" showInputMessage="false" sqref="C9" type="list">
      <formula1>"Seul,En couple"</formula1>
      <formula2>0</formula2>
    </dataValidation>
    <dataValidation allowBlank="false" errorStyle="stop" operator="between" showDropDown="false" showErrorMessage="false" showInputMessage="false" sqref="C18" type="list">
      <formula1>"La moins chère,LAMal,CMU"</formula1>
      <formula2>0</formula2>
    </dataValidation>
    <dataValidation allowBlank="true" errorStyle="stop" operator="between" showDropDown="false" showErrorMessage="false" showInputMessage="false" sqref="C13 C19:C21 C28" type="decimal">
      <formula1>0</formula1>
      <formula2>1</formula2>
    </dataValidation>
    <dataValidation allowBlank="true" errorStyle="stop" operator="between" showDropDown="false" showErrorMessage="false" showInputMessage="false" sqref="C26" type="decimal">
      <formula1>0</formula1>
      <formula2>0.2</formula2>
    </dataValidation>
    <dataValidation allowBlank="true" errorStyle="stop" operator="between" showDropDown="false" showErrorMessage="false" showInputMessage="false" sqref="C7" type="decimal">
      <formula1>12</formula1>
      <formula2>15</formula2>
    </dataValidation>
    <dataValidation allowBlank="false" errorStyle="stop" operator="between" showDropDown="false" showErrorMessage="false" showInputMessage="false" sqref="C8" type="whole">
      <formula1>15</formula1>
      <formula2>70</formula2>
    </dataValidation>
    <dataValidation allowBlank="false" errorStyle="stop" operator="between" showDropDown="false" showErrorMessage="false" showInputMessage="false" sqref="C10 C14" type="whole">
      <formula1>0</formula1>
      <formula2>12</formula2>
    </dataValidation>
    <dataValidation allowBlank="false" errorStyle="stop" operator="between" showDropDown="false" showErrorMessage="false" showInputMessage="false" sqref="C27" type="whole">
      <formula1>1</formula1>
      <formula2>30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2"/>
    <col collapsed="false" customWidth="true" hidden="false" outlineLevel="0" max="3" min="3" style="0" width="20"/>
    <col collapsed="false" customWidth="true" hidden="false" outlineLevel="0" max="4" min="4" style="0" width="70"/>
  </cols>
  <sheetData>
    <row r="1" customFormat="false" ht="19.7" hidden="false" customHeight="false" outlineLevel="0" collapsed="false">
      <c r="B1" s="7" t="s">
        <v>84</v>
      </c>
    </row>
    <row r="2" customFormat="false" ht="15" hidden="false" customHeight="false" outlineLevel="0" collapsed="false">
      <c r="B2" s="3" t="s">
        <v>85</v>
      </c>
    </row>
    <row r="4" customFormat="false" ht="15" hidden="false" customHeight="false" outlineLevel="0" collapsed="false">
      <c r="B4" s="4" t="s">
        <v>86</v>
      </c>
    </row>
    <row r="5" customFormat="false" ht="15" hidden="false" customHeight="false" outlineLevel="0" collapsed="false">
      <c r="B5" s="5" t="s">
        <v>87</v>
      </c>
      <c r="C5" s="5" t="str">
        <f aca="false">'Vos chiffres'!C5</f>
        <v>Genève</v>
      </c>
    </row>
    <row r="6" customFormat="false" ht="15" hidden="false" customHeight="false" outlineLevel="0" collapsed="false">
      <c r="B6" s="2" t="s">
        <v>88</v>
      </c>
      <c r="C6" s="2" t="str">
        <f aca="false">IF(C7="France","En France (accord de 1983)","En Suisse, à la source")</f>
        <v>En Suisse, à la source</v>
      </c>
    </row>
    <row r="7" customFormat="false" ht="15" hidden="false" customHeight="false" outlineLevel="0" collapsed="false">
      <c r="B7" s="5" t="s">
        <v>89</v>
      </c>
      <c r="C7" s="5" t="str">
        <f aca="false">INDEX(Paramètres!$B$45:$B$54,MATCH('Vos chiffres'!$C$5,Paramètres!$A$45:$A$54,0))</f>
        <v>Source</v>
      </c>
    </row>
    <row r="9" customFormat="false" ht="15" hidden="false" customHeight="false" outlineLevel="0" collapsed="false">
      <c r="B9" s="4" t="s">
        <v>90</v>
      </c>
    </row>
    <row r="10" customFormat="false" ht="15" hidden="false" customHeight="false" outlineLevel="0" collapsed="false">
      <c r="B10" s="2" t="s">
        <v>91</v>
      </c>
      <c r="C10" s="16" t="n">
        <f aca="false">'Vos chiffres'!C6*'Vos chiffres'!C7</f>
        <v>91000</v>
      </c>
    </row>
    <row r="11" customFormat="false" ht="15" hidden="false" customHeight="false" outlineLevel="0" collapsed="false">
      <c r="B11" s="5" t="s">
        <v>92</v>
      </c>
      <c r="C11" s="17" t="n">
        <f aca="false">-C10*Paramètres!$B$4</f>
        <v>-4823</v>
      </c>
    </row>
    <row r="12" customFormat="false" ht="15" hidden="false" customHeight="false" outlineLevel="0" collapsed="false">
      <c r="B12" s="5" t="s">
        <v>93</v>
      </c>
      <c r="C12" s="17" t="n">
        <f aca="false">-MIN(C10,Paramètres!$B$6)*Paramètres!$B$5</f>
        <v>-1001</v>
      </c>
    </row>
    <row r="13" customFormat="false" ht="15" hidden="false" customHeight="false" outlineLevel="0" collapsed="false">
      <c r="B13" s="5" t="s">
        <v>94</v>
      </c>
      <c r="C13" s="17" t="n">
        <f aca="false">IF(C10&lt;Paramètres!$B$7,0,MAX(MIN(C10,Paramètres!$B$10)-Paramètres!$B$8,Paramètres!$B$9))</f>
        <v>64260</v>
      </c>
      <c r="D13" s="18" t="s">
        <v>95</v>
      </c>
    </row>
    <row r="14" customFormat="false" ht="15" hidden="false" customHeight="false" outlineLevel="0" collapsed="false">
      <c r="B14" s="5" t="s">
        <v>96</v>
      </c>
      <c r="C14" s="19" t="n">
        <f aca="false">IF('Vos chiffres'!C8&lt;25,0,IF('Vos chiffres'!C8&lt;35,Paramètres!$B$11,IF('Vos chiffres'!C8&lt;45,Paramètres!$B$12,IF('Vos chiffres'!C8&lt;55,Paramètres!$B$13,IF('Vos chiffres'!C8&lt;=65,Paramètres!$B$14,0)))))</f>
        <v>0.1</v>
      </c>
    </row>
    <row r="15" customFormat="false" ht="15" hidden="false" customHeight="false" outlineLevel="0" collapsed="false">
      <c r="B15" s="5" t="s">
        <v>97</v>
      </c>
      <c r="C15" s="17" t="n">
        <f aca="false">-C13*C14*Paramètres!$B$15</f>
        <v>-3213</v>
      </c>
      <c r="D15" s="18" t="s">
        <v>98</v>
      </c>
    </row>
    <row r="16" customFormat="false" ht="15" hidden="false" customHeight="false" outlineLevel="0" collapsed="false">
      <c r="B16" s="5" t="s">
        <v>99</v>
      </c>
      <c r="C16" s="17" t="n">
        <f aca="false">-C10*Paramètres!$B$16</f>
        <v>-1092</v>
      </c>
      <c r="D16" s="18" t="s">
        <v>100</v>
      </c>
    </row>
    <row r="17" customFormat="false" ht="15" hidden="false" customHeight="false" outlineLevel="0" collapsed="false">
      <c r="B17" s="5" t="s">
        <v>101</v>
      </c>
      <c r="C17" s="17" t="n">
        <f aca="false">-C10*Paramètres!$B$17</f>
        <v>-455</v>
      </c>
    </row>
    <row r="18" customFormat="false" ht="15" hidden="false" customHeight="false" outlineLevel="0" collapsed="false">
      <c r="B18" s="2" t="s">
        <v>102</v>
      </c>
      <c r="C18" s="16" t="n">
        <f aca="false">SUM(C11,C12,C15,C16,C17)</f>
        <v>-10584</v>
      </c>
    </row>
    <row r="19" customFormat="false" ht="15" hidden="false" customHeight="false" outlineLevel="0" collapsed="false">
      <c r="B19" s="5" t="s">
        <v>103</v>
      </c>
      <c r="C19" s="19" t="n">
        <f aca="false">IF(C7="Source",IF('Vos chiffres'!C13="",INDEX(Paramètres!$D$45:$D$54,MATCH('Vos chiffres'!C5,Paramètres!$A$45:$A$54,0)),'Vos chiffres'!C13),0)</f>
        <v>0.1</v>
      </c>
      <c r="D19" s="18" t="s">
        <v>104</v>
      </c>
    </row>
    <row r="20" customFormat="false" ht="15" hidden="false" customHeight="false" outlineLevel="0" collapsed="false">
      <c r="B20" s="5" t="s">
        <v>105</v>
      </c>
      <c r="C20" s="17" t="n">
        <f aca="false">-C10*C19</f>
        <v>-9100</v>
      </c>
    </row>
    <row r="21" customFormat="false" ht="15" hidden="false" customHeight="false" outlineLevel="0" collapsed="false">
      <c r="B21" s="2" t="s">
        <v>106</v>
      </c>
      <c r="C21" s="16" t="n">
        <f aca="false">C10+C18+C20</f>
        <v>71316</v>
      </c>
    </row>
    <row r="22" customFormat="false" ht="15" hidden="false" customHeight="false" outlineLevel="0" collapsed="false">
      <c r="B22" s="20" t="s">
        <v>107</v>
      </c>
      <c r="C22" s="21" t="n">
        <f aca="false">C21*'Vos chiffres'!$C$17</f>
        <v>77021.28</v>
      </c>
    </row>
    <row r="23" customFormat="false" ht="15" hidden="false" customHeight="false" outlineLevel="0" collapsed="false">
      <c r="B23" s="20" t="s">
        <v>108</v>
      </c>
      <c r="C23" s="21" t="n">
        <f aca="false">C22/12</f>
        <v>6418.44</v>
      </c>
    </row>
    <row r="25" customFormat="false" ht="15" hidden="false" customHeight="false" outlineLevel="0" collapsed="false">
      <c r="B25" s="4" t="s">
        <v>109</v>
      </c>
    </row>
    <row r="26" customFormat="false" ht="15" hidden="false" customHeight="false" outlineLevel="0" collapsed="false">
      <c r="B26" s="5" t="s">
        <v>110</v>
      </c>
      <c r="C26" s="22" t="n">
        <f aca="false">(C10+C18)*'Vos chiffres'!$C$17</f>
        <v>86849.28</v>
      </c>
    </row>
    <row r="27" customFormat="false" ht="15" hidden="false" customHeight="false" outlineLevel="0" collapsed="false">
      <c r="B27" s="5" t="s">
        <v>111</v>
      </c>
      <c r="C27" s="22" t="n">
        <f aca="false">-MIN(MAX(C26*Paramètres!$B$28,Paramètres!$B$29),Paramètres!$B$30)</f>
        <v>-8684.928</v>
      </c>
    </row>
    <row r="28" customFormat="false" ht="15" hidden="false" customHeight="false" outlineLevel="0" collapsed="false">
      <c r="B28" s="5" t="s">
        <v>112</v>
      </c>
      <c r="C28" s="22" t="n">
        <f aca="false">C26+C27</f>
        <v>78164.352</v>
      </c>
    </row>
    <row r="29" customFormat="false" ht="15" hidden="false" customHeight="false" outlineLevel="0" collapsed="false">
      <c r="B29" s="2" t="s">
        <v>113</v>
      </c>
      <c r="C29" s="23" t="n">
        <f aca="false">C28+'Vos chiffres'!C11</f>
        <v>78164.352</v>
      </c>
    </row>
    <row r="30" customFormat="false" ht="15" hidden="false" customHeight="false" outlineLevel="0" collapsed="false">
      <c r="B30" s="5" t="s">
        <v>114</v>
      </c>
      <c r="C30" s="24" t="n">
        <f aca="false">IF('Vos chiffres'!C9="En couple",2,1)</f>
        <v>1</v>
      </c>
    </row>
    <row r="31" customFormat="false" ht="22.35" hidden="false" customHeight="false" outlineLevel="0" collapsed="false">
      <c r="B31" s="5" t="s">
        <v>115</v>
      </c>
      <c r="C31" s="24" t="n">
        <f aca="false">C30+IF('Vos chiffres'!C10&lt;=2,'Vos chiffres'!C10*0.5,1+('Vos chiffres'!C10-2))</f>
        <v>1</v>
      </c>
      <c r="D31" s="18" t="s">
        <v>116</v>
      </c>
    </row>
    <row r="32" customFormat="false" ht="15" hidden="false" customHeight="false" outlineLevel="0" collapsed="false">
      <c r="B32" s="5" t="s">
        <v>117</v>
      </c>
      <c r="C32" s="22" t="n">
        <f aca="false">IF(C31&lt;=0,0,C31*SUMPRODUCT((C29/C31&gt;Paramètres!$B$21:$B$25)*(C29/C31-Paramètres!$B$21:$B$25)*Paramètres!$D$21:$D$25))</f>
        <v>16553.2956</v>
      </c>
    </row>
    <row r="33" customFormat="false" ht="15" hidden="false" customHeight="false" outlineLevel="0" collapsed="false">
      <c r="B33" s="5" t="s">
        <v>118</v>
      </c>
      <c r="C33" s="22" t="n">
        <f aca="false">IF(C30&lt;=0,0,C30*SUMPRODUCT((C29/C30&gt;Paramètres!$B$21:$B$25)*(C29/C30-Paramètres!$B$21:$B$25)*Paramètres!$D$21:$D$25))</f>
        <v>16553.2956</v>
      </c>
    </row>
    <row r="34" customFormat="false" ht="15" hidden="false" customHeight="false" outlineLevel="0" collapsed="false">
      <c r="B34" s="5" t="s">
        <v>119</v>
      </c>
      <c r="C34" s="22" t="n">
        <f aca="false">MAX(C32,C33-MAX(0,C31-C30)*2*Paramètres!$B$27)</f>
        <v>16553.2956</v>
      </c>
      <c r="D34" s="18" t="s">
        <v>120</v>
      </c>
    </row>
    <row r="35" customFormat="false" ht="15" hidden="false" customHeight="false" outlineLevel="0" collapsed="false">
      <c r="B35" s="5" t="s">
        <v>121</v>
      </c>
      <c r="C35" s="22" t="n">
        <f aca="false">-MIN(C34,MAX(0,IF('Vos chiffres'!C9="En couple",Paramètres!$B$32,Paramètres!$B$31)-Paramètres!$B$33*C34))</f>
        <v>-0</v>
      </c>
    </row>
    <row r="36" customFormat="false" ht="15" hidden="false" customHeight="false" outlineLevel="0" collapsed="false">
      <c r="B36" s="5" t="s">
        <v>122</v>
      </c>
      <c r="C36" s="22" t="n">
        <f aca="false">MAX(0,C34+C35)</f>
        <v>16553.2956</v>
      </c>
    </row>
    <row r="37" customFormat="false" ht="22.35" hidden="false" customHeight="false" outlineLevel="0" collapsed="false">
      <c r="B37" s="20" t="s">
        <v>123</v>
      </c>
      <c r="C37" s="21" t="n">
        <f aca="false">IF(C7="France",C36,IF(C29=0,0,C36*'Vos chiffres'!C11/C29))</f>
        <v>0</v>
      </c>
      <c r="D37" s="18" t="s">
        <v>124</v>
      </c>
    </row>
    <row r="38" customFormat="false" ht="15" hidden="false" customHeight="false" outlineLevel="0" collapsed="false">
      <c r="B38" s="5" t="s">
        <v>125</v>
      </c>
      <c r="C38" s="22" t="n">
        <f aca="false">IF(C7="France",IF(C29=0,0,C36*C28/C29),0)</f>
        <v>0</v>
      </c>
    </row>
    <row r="40" customFormat="false" ht="15" hidden="false" customHeight="false" outlineLevel="0" collapsed="false">
      <c r="B40" s="4" t="s">
        <v>126</v>
      </c>
    </row>
    <row r="41" customFormat="false" ht="15" hidden="false" customHeight="false" outlineLevel="0" collapsed="false">
      <c r="B41" s="5" t="s">
        <v>127</v>
      </c>
      <c r="C41" s="22" t="n">
        <f aca="false">MAX(0,C29-'Vos chiffres'!C12)</f>
        <v>78164.352</v>
      </c>
      <c r="D41" s="18" t="s">
        <v>128</v>
      </c>
    </row>
    <row r="42" customFormat="false" ht="15" hidden="false" customHeight="false" outlineLevel="0" collapsed="false">
      <c r="B42" s="5" t="s">
        <v>129</v>
      </c>
      <c r="C42" s="22" t="n">
        <f aca="false">MAX(0,C41-Paramètres!$B$36)</f>
        <v>66149.352</v>
      </c>
    </row>
    <row r="43" customFormat="false" ht="15" hidden="false" customHeight="false" outlineLevel="0" collapsed="false">
      <c r="B43" s="2" t="s">
        <v>130</v>
      </c>
      <c r="C43" s="23" t="n">
        <f aca="false">C42*Paramètres!$B$37</f>
        <v>5291.94816</v>
      </c>
      <c r="D43" s="18" t="s">
        <v>131</v>
      </c>
    </row>
    <row r="44" customFormat="false" ht="15" hidden="false" customHeight="false" outlineLevel="0" collapsed="false">
      <c r="B44" s="5" t="s">
        <v>132</v>
      </c>
      <c r="C44" s="17" t="n">
        <f aca="false">IF('Vos chiffres'!C15="",INDEX(Paramètres!$C$45:$C$54,MATCH('Vos chiffres'!C5,Paramètres!$A$45:$A$54,0)),'Vos chiffres'!C15)</f>
        <v>300</v>
      </c>
    </row>
    <row r="45" customFormat="false" ht="15" hidden="false" customHeight="false" outlineLevel="0" collapsed="false">
      <c r="B45" s="2" t="s">
        <v>133</v>
      </c>
      <c r="C45" s="23" t="n">
        <f aca="false">('Vos chiffres'!C14*C44+'Vos chiffres'!C10*'Vos chiffres'!C16)*12*'Vos chiffres'!$C$17</f>
        <v>3888</v>
      </c>
    </row>
    <row r="46" customFormat="false" ht="15" hidden="false" customHeight="false" outlineLevel="0" collapsed="false">
      <c r="B46" s="20" t="s">
        <v>134</v>
      </c>
      <c r="C46" s="25" t="str">
        <f aca="false">IF(C43&lt;=C45,"CMU","LAMal")</f>
        <v>LAMal</v>
      </c>
    </row>
    <row r="47" customFormat="false" ht="15" hidden="false" customHeight="false" outlineLevel="0" collapsed="false">
      <c r="B47" s="20" t="s">
        <v>135</v>
      </c>
      <c r="C47" s="21" t="n">
        <f aca="false">ABS(C43-C45)</f>
        <v>1403.94816</v>
      </c>
      <c r="D47" s="18" t="s">
        <v>136</v>
      </c>
    </row>
    <row r="49" customFormat="false" ht="15" hidden="false" customHeight="false" outlineLevel="0" collapsed="false">
      <c r="B49" s="4" t="s">
        <v>137</v>
      </c>
    </row>
    <row r="50" customFormat="false" ht="15" hidden="false" customHeight="false" outlineLevel="0" collapsed="false">
      <c r="B50" s="5" t="s">
        <v>107</v>
      </c>
      <c r="C50" s="22" t="n">
        <f aca="false">C22</f>
        <v>77021.28</v>
      </c>
    </row>
    <row r="51" customFormat="false" ht="15" hidden="false" customHeight="false" outlineLevel="0" collapsed="false">
      <c r="B51" s="5" t="s">
        <v>138</v>
      </c>
      <c r="C51" s="22" t="n">
        <f aca="false">-C38</f>
        <v>-0</v>
      </c>
    </row>
    <row r="52" customFormat="false" ht="15" hidden="false" customHeight="false" outlineLevel="0" collapsed="false">
      <c r="B52" s="5" t="s">
        <v>139</v>
      </c>
      <c r="C52" s="22" t="n">
        <f aca="false">-IF('Vos chiffres'!C18="LAMal",C45,IF('Vos chiffres'!C18="CMU",C43,MIN(C43,C45)))</f>
        <v>-3888</v>
      </c>
    </row>
    <row r="53" customFormat="false" ht="15" hidden="false" customHeight="false" outlineLevel="0" collapsed="false">
      <c r="B53" s="20" t="s">
        <v>140</v>
      </c>
      <c r="C53" s="21" t="n">
        <f aca="false">SUM(C50:C52)</f>
        <v>73133.28</v>
      </c>
    </row>
    <row r="54" customFormat="false" ht="15" hidden="false" customHeight="false" outlineLevel="0" collapsed="false">
      <c r="B54" s="20" t="s">
        <v>141</v>
      </c>
      <c r="C54" s="21" t="n">
        <f aca="false">C53/12</f>
        <v>6094.44</v>
      </c>
    </row>
    <row r="56" customFormat="false" ht="15" hidden="false" customHeight="false" outlineLevel="0" collapsed="false">
      <c r="B56" s="4" t="s">
        <v>142</v>
      </c>
    </row>
    <row r="57" customFormat="false" ht="42" hidden="false" customHeight="true" outlineLevel="0" collapsed="false">
      <c r="B57" s="2" t="s">
        <v>143</v>
      </c>
      <c r="C57" s="2" t="str">
        <f aca="false">IF('Vos chiffres'!C21&gt;Paramètres!$B$41,"Au-delà de 40 %","OK")</f>
        <v>OK</v>
      </c>
      <c r="D57" s="18" t="str">
        <f aca="false">IF('Vos chiffres'!C21&gt;Paramètres!$B$41,"Au-delà de 40 % de télétravail, votre salaire peut devenir imposable en France et vos cotisations changer de pays. Parlez-en à votre employeur avant.","Sous la limite de 40 % fixée par l'accord France-Suisse en vigueur au 1er janvier 2026.")</f>
        <v>Sous la limite de 40 % fixée par l'accord France-Suisse en vigueur au 1er janvier 2026.</v>
      </c>
    </row>
    <row r="58" customFormat="false" ht="42" hidden="false" customHeight="true" outlineLevel="0" collapsed="false">
      <c r="B58" s="2" t="s">
        <v>144</v>
      </c>
      <c r="C58" s="26" t="s">
        <v>145</v>
      </c>
      <c r="D58" s="18" t="s">
        <v>146</v>
      </c>
    </row>
    <row r="59" customFormat="false" ht="42" hidden="false" customHeight="true" outlineLevel="0" collapsed="false">
      <c r="B59" s="2" t="s">
        <v>147</v>
      </c>
      <c r="C59" s="2" t="str">
        <f aca="false">IF(C7="France","À fournir","Non concerné")</f>
        <v>Non concerné</v>
      </c>
      <c r="D59" s="18" t="s">
        <v>148</v>
      </c>
    </row>
    <row r="61" customFormat="false" ht="43.5" hidden="false" customHeight="true" outlineLevel="0" collapsed="false">
      <c r="B61" s="27" t="s">
        <v>149</v>
      </c>
      <c r="C61" s="27"/>
      <c r="D61" s="27"/>
    </row>
  </sheetData>
  <sheetProtection sheet="true" formatColumns="false" formatRows="false"/>
  <mergeCells count="1">
    <mergeCell ref="B61:D6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
    <col collapsed="false" customWidth="true" hidden="false" outlineLevel="0" max="3" min="3" style="0" width="18"/>
    <col collapsed="false" customWidth="true" hidden="false" outlineLevel="0" max="4" min="4" style="0" width="22"/>
    <col collapsed="false" customWidth="true" hidden="false" outlineLevel="0" max="6" min="5" style="0" width="18"/>
    <col collapsed="false" customWidth="true" hidden="false" outlineLevel="0" max="7" min="7" style="0" width="26"/>
  </cols>
  <sheetData>
    <row r="1" customFormat="false" ht="19.7" hidden="false" customHeight="false" outlineLevel="0" collapsed="false">
      <c r="B1" s="7" t="s">
        <v>150</v>
      </c>
    </row>
    <row r="2" customFormat="false" ht="15" hidden="false" customHeight="false" outlineLevel="0" collapsed="false">
      <c r="B2" s="3" t="s">
        <v>151</v>
      </c>
    </row>
    <row r="4" customFormat="false" ht="26.85" hidden="false" customHeight="false" outlineLevel="0" collapsed="false">
      <c r="A4" s="8"/>
      <c r="B4" s="8" t="s">
        <v>152</v>
      </c>
      <c r="C4" s="8" t="s">
        <v>153</v>
      </c>
      <c r="D4" s="8" t="s">
        <v>154</v>
      </c>
      <c r="E4" s="8" t="s">
        <v>155</v>
      </c>
      <c r="F4" s="8" t="s">
        <v>156</v>
      </c>
      <c r="G4" s="8" t="s">
        <v>157</v>
      </c>
    </row>
    <row r="5" customFormat="false" ht="15" hidden="false" customHeight="false" outlineLevel="0" collapsed="false">
      <c r="B5" s="28" t="n">
        <v>1</v>
      </c>
      <c r="C5" s="22" t="n">
        <f aca="false">Résultats!$C$43*(1+'Vos chiffres'!$C$20)^(B5-1)</f>
        <v>5291.94816</v>
      </c>
      <c r="D5" s="22" t="n">
        <f aca="false">Résultats!$C$45*(1+'Vos chiffres'!$C$19)^(B5-1)</f>
        <v>3888</v>
      </c>
      <c r="E5" s="22" t="n">
        <f aca="false">C5</f>
        <v>5291.94816</v>
      </c>
      <c r="F5" s="22" t="n">
        <f aca="false">D5</f>
        <v>3888</v>
      </c>
      <c r="G5" s="22" t="n">
        <f aca="false">E5-F5</f>
        <v>1403.94816</v>
      </c>
    </row>
    <row r="6" customFormat="false" ht="15" hidden="false" customHeight="false" outlineLevel="0" collapsed="false">
      <c r="B6" s="28" t="n">
        <v>2</v>
      </c>
      <c r="C6" s="22" t="n">
        <f aca="false">Résultats!$C$43*(1+'Vos chiffres'!$C$20)^(B6-1)</f>
        <v>5344.8676416</v>
      </c>
      <c r="D6" s="22" t="n">
        <f aca="false">Résultats!$C$45*(1+'Vos chiffres'!$C$19)^(B6-1)</f>
        <v>4043.52</v>
      </c>
      <c r="E6" s="22" t="n">
        <f aca="false">E5+C6</f>
        <v>10636.8158016</v>
      </c>
      <c r="F6" s="22" t="n">
        <f aca="false">F5+D6</f>
        <v>7931.52</v>
      </c>
      <c r="G6" s="22" t="n">
        <f aca="false">E6-F6</f>
        <v>2705.2958016</v>
      </c>
    </row>
    <row r="7" customFormat="false" ht="15" hidden="false" customHeight="false" outlineLevel="0" collapsed="false">
      <c r="B7" s="28" t="n">
        <v>3</v>
      </c>
      <c r="C7" s="22" t="n">
        <f aca="false">Résultats!$C$43*(1+'Vos chiffres'!$C$20)^(B7-1)</f>
        <v>5398.316318016</v>
      </c>
      <c r="D7" s="22" t="n">
        <f aca="false">Résultats!$C$45*(1+'Vos chiffres'!$C$19)^(B7-1)</f>
        <v>4205.2608</v>
      </c>
      <c r="E7" s="22" t="n">
        <f aca="false">E6+C7</f>
        <v>16035.132119616</v>
      </c>
      <c r="F7" s="22" t="n">
        <f aca="false">F6+D7</f>
        <v>12136.7808</v>
      </c>
      <c r="G7" s="22" t="n">
        <f aca="false">E7-F7</f>
        <v>3898.351319616</v>
      </c>
    </row>
    <row r="8" customFormat="false" ht="15" hidden="false" customHeight="false" outlineLevel="0" collapsed="false">
      <c r="B8" s="28" t="n">
        <v>4</v>
      </c>
      <c r="C8" s="22" t="n">
        <f aca="false">Résultats!$C$43*(1+'Vos chiffres'!$C$20)^(B8-1)</f>
        <v>5452.29948119616</v>
      </c>
      <c r="D8" s="22" t="n">
        <f aca="false">Résultats!$C$45*(1+'Vos chiffres'!$C$19)^(B8-1)</f>
        <v>4373.471232</v>
      </c>
      <c r="E8" s="22" t="n">
        <f aca="false">E7+C8</f>
        <v>21487.4316008122</v>
      </c>
      <c r="F8" s="22" t="n">
        <f aca="false">F7+D8</f>
        <v>16510.252032</v>
      </c>
      <c r="G8" s="22" t="n">
        <f aca="false">E8-F8</f>
        <v>4977.17956881216</v>
      </c>
    </row>
    <row r="9" customFormat="false" ht="15" hidden="false" customHeight="false" outlineLevel="0" collapsed="false">
      <c r="B9" s="28" t="n">
        <v>5</v>
      </c>
      <c r="C9" s="22" t="n">
        <f aca="false">Résultats!$C$43*(1+'Vos chiffres'!$C$20)^(B9-1)</f>
        <v>5506.82247600812</v>
      </c>
      <c r="D9" s="22" t="n">
        <f aca="false">Résultats!$C$45*(1+'Vos chiffres'!$C$19)^(B9-1)</f>
        <v>4548.41008128</v>
      </c>
      <c r="E9" s="22" t="n">
        <f aca="false">E8+C9</f>
        <v>26994.2540768203</v>
      </c>
      <c r="F9" s="22" t="n">
        <f aca="false">F8+D9</f>
        <v>21058.66211328</v>
      </c>
      <c r="G9" s="22" t="n">
        <f aca="false">E9-F9</f>
        <v>5935.59196354028</v>
      </c>
    </row>
    <row r="10" customFormat="false" ht="15" hidden="false" customHeight="false" outlineLevel="0" collapsed="false">
      <c r="B10" s="28" t="n">
        <v>6</v>
      </c>
      <c r="C10" s="22" t="n">
        <f aca="false">Résultats!$C$43*(1+'Vos chiffres'!$C$20)^(B10-1)</f>
        <v>5561.8907007682</v>
      </c>
      <c r="D10" s="22" t="n">
        <f aca="false">Résultats!$C$45*(1+'Vos chiffres'!$C$19)^(B10-1)</f>
        <v>4730.3464845312</v>
      </c>
      <c r="E10" s="22" t="n">
        <f aca="false">E9+C10</f>
        <v>32556.1447775885</v>
      </c>
      <c r="F10" s="22" t="n">
        <f aca="false">F9+D10</f>
        <v>25789.0085978112</v>
      </c>
      <c r="G10" s="22" t="n">
        <f aca="false">E10-F10</f>
        <v>6767.13617977728</v>
      </c>
    </row>
    <row r="11" customFormat="false" ht="15" hidden="false" customHeight="false" outlineLevel="0" collapsed="false">
      <c r="B11" s="28" t="n">
        <v>7</v>
      </c>
      <c r="C11" s="22" t="n">
        <f aca="false">Résultats!$C$43*(1+'Vos chiffres'!$C$20)^(B11-1)</f>
        <v>5617.50960777589</v>
      </c>
      <c r="D11" s="22" t="n">
        <f aca="false">Résultats!$C$45*(1+'Vos chiffres'!$C$19)^(B11-1)</f>
        <v>4919.56034391245</v>
      </c>
      <c r="E11" s="22" t="n">
        <f aca="false">E10+C11</f>
        <v>38173.6543853644</v>
      </c>
      <c r="F11" s="22" t="n">
        <f aca="false">F10+D11</f>
        <v>30708.5689417237</v>
      </c>
      <c r="G11" s="22" t="n">
        <f aca="false">E11-F11</f>
        <v>7465.08544364071</v>
      </c>
    </row>
    <row r="12" customFormat="false" ht="15" hidden="false" customHeight="false" outlineLevel="0" collapsed="false">
      <c r="B12" s="28" t="n">
        <v>8</v>
      </c>
      <c r="C12" s="22" t="n">
        <f aca="false">Résultats!$C$43*(1+'Vos chiffres'!$C$20)^(B12-1)</f>
        <v>5673.68470385364</v>
      </c>
      <c r="D12" s="22" t="n">
        <f aca="false">Résultats!$C$45*(1+'Vos chiffres'!$C$19)^(B12-1)</f>
        <v>5116.34275766895</v>
      </c>
      <c r="E12" s="22" t="n">
        <f aca="false">E11+C12</f>
        <v>43847.339089218</v>
      </c>
      <c r="F12" s="22" t="n">
        <f aca="false">F11+D12</f>
        <v>35824.9116993926</v>
      </c>
      <c r="G12" s="22" t="n">
        <f aca="false">E12-F12</f>
        <v>8022.42738982541</v>
      </c>
    </row>
    <row r="13" customFormat="false" ht="15" hidden="false" customHeight="false" outlineLevel="0" collapsed="false">
      <c r="B13" s="28" t="n">
        <v>9</v>
      </c>
      <c r="C13" s="22" t="n">
        <f aca="false">Résultats!$C$43*(1+'Vos chiffres'!$C$20)^(B13-1)</f>
        <v>5730.42155089218</v>
      </c>
      <c r="D13" s="22" t="n">
        <f aca="false">Résultats!$C$45*(1+'Vos chiffres'!$C$19)^(B13-1)</f>
        <v>5320.99646797571</v>
      </c>
      <c r="E13" s="22" t="n">
        <f aca="false">E12+C13</f>
        <v>49577.7606401102</v>
      </c>
      <c r="F13" s="22" t="n">
        <f aca="false">F12+D13</f>
        <v>41145.9081673683</v>
      </c>
      <c r="G13" s="22" t="n">
        <f aca="false">E13-F13</f>
        <v>8431.85247274189</v>
      </c>
    </row>
    <row r="14" customFormat="false" ht="15" hidden="false" customHeight="false" outlineLevel="0" collapsed="false">
      <c r="B14" s="28" t="n">
        <v>10</v>
      </c>
      <c r="C14" s="22" t="n">
        <f aca="false">Résultats!$C$43*(1+'Vos chiffres'!$C$20)^(B14-1)</f>
        <v>5787.7257664011</v>
      </c>
      <c r="D14" s="22" t="n">
        <f aca="false">Résultats!$C$45*(1+'Vos chiffres'!$C$19)^(B14-1)</f>
        <v>5533.83632669473</v>
      </c>
      <c r="E14" s="22" t="n">
        <f aca="false">E13+C14</f>
        <v>55365.4864065113</v>
      </c>
      <c r="F14" s="22" t="n">
        <f aca="false">F13+D14</f>
        <v>46679.744494063</v>
      </c>
      <c r="G14" s="22" t="n">
        <f aca="false">E14-F14</f>
        <v>8685.74191244826</v>
      </c>
    </row>
    <row r="16" customFormat="false" ht="15" hidden="false" customHeight="false" outlineLevel="0" collapsed="false">
      <c r="B16" s="4" t="s">
        <v>158</v>
      </c>
    </row>
    <row r="17" customFormat="false" ht="36" hidden="false" customHeight="true" outlineLevel="0" collapsed="false">
      <c r="B17" s="29" t="str">
        <f aca="false">IF(F14&lt;E14,"La LAMal vous coûterait environ "&amp;ROUND(E14-F14,0)&amp;" € de moins que la CMU sur 10 ans.",IF(E14&lt;F14,"La CMU vous coûterait environ "&amp;ROUND(F14-E14,0)&amp;" € de moins que la LAMal sur 10 ans.","Coût équivalent sur 10 ans."))</f>
        <v>La LAMal vous coûterait environ 8686 € de moins que la CMU sur 10 ans.</v>
      </c>
      <c r="C17" s="29"/>
      <c r="D17" s="29"/>
      <c r="E17" s="29"/>
      <c r="F17" s="29"/>
      <c r="G17" s="29"/>
    </row>
    <row r="19" customFormat="false" ht="15" hidden="false" customHeight="false" outlineLevel="0" collapsed="false">
      <c r="B19" s="2" t="s">
        <v>159</v>
      </c>
    </row>
    <row r="20" customFormat="false" ht="15" hidden="false" customHeight="false" outlineLevel="0" collapsed="false">
      <c r="B20" s="5" t="s">
        <v>160</v>
      </c>
    </row>
    <row r="21" customFormat="false" ht="15" hidden="false" customHeight="false" outlineLevel="0" collapsed="false">
      <c r="B21" s="5" t="s">
        <v>161</v>
      </c>
    </row>
    <row r="22" customFormat="false" ht="15" hidden="false" customHeight="false" outlineLevel="0" collapsed="false">
      <c r="B22" s="5" t="s">
        <v>162</v>
      </c>
    </row>
    <row r="23" customFormat="false" ht="15" hidden="false" customHeight="false" outlineLevel="0" collapsed="false">
      <c r="B23" s="5" t="s">
        <v>163</v>
      </c>
    </row>
    <row r="24" customFormat="false" ht="15" hidden="false" customHeight="false" outlineLevel="0" collapsed="false">
      <c r="B24" s="3" t="s">
        <v>164</v>
      </c>
    </row>
  </sheetData>
  <sheetProtection sheet="true" formatColumns="false" formatRows="false"/>
  <mergeCells count="1">
    <mergeCell ref="B17:G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2"/>
    <col collapsed="false" customWidth="true" hidden="false" outlineLevel="0" max="3" min="3" style="0" width="20"/>
    <col collapsed="false" customWidth="true" hidden="false" outlineLevel="0" max="4" min="4" style="0" width="70"/>
  </cols>
  <sheetData>
    <row r="1" customFormat="false" ht="19.7" hidden="false" customHeight="false" outlineLevel="0" collapsed="false">
      <c r="B1" s="7" t="s">
        <v>165</v>
      </c>
    </row>
    <row r="2" customFormat="false" ht="15" hidden="false" customHeight="false" outlineLevel="0" collapsed="false">
      <c r="B2" s="3" t="s">
        <v>166</v>
      </c>
    </row>
    <row r="4" customFormat="false" ht="15" hidden="false" customHeight="false" outlineLevel="0" collapsed="false">
      <c r="B4" s="4" t="s">
        <v>167</v>
      </c>
    </row>
    <row r="5" customFormat="false" ht="15" hidden="false" customHeight="false" outlineLevel="0" collapsed="false">
      <c r="B5" s="5" t="s">
        <v>168</v>
      </c>
      <c r="C5" s="22" t="n">
        <f aca="false">Résultats!C22</f>
        <v>77021.28</v>
      </c>
    </row>
    <row r="6" customFormat="false" ht="15" hidden="false" customHeight="false" outlineLevel="0" collapsed="false">
      <c r="B6" s="5" t="s">
        <v>80</v>
      </c>
      <c r="C6" s="19" t="n">
        <f aca="false">'Vos chiffres'!C28</f>
        <v>0.85</v>
      </c>
      <c r="D6" s="18" t="s">
        <v>169</v>
      </c>
    </row>
    <row r="7" customFormat="false" ht="15" hidden="false" customHeight="false" outlineLevel="0" collapsed="false">
      <c r="B7" s="5" t="s">
        <v>170</v>
      </c>
      <c r="C7" s="22" t="n">
        <f aca="false">C5*C6</f>
        <v>65468.088</v>
      </c>
    </row>
    <row r="8" customFormat="false" ht="15" hidden="false" customHeight="false" outlineLevel="0" collapsed="false">
      <c r="B8" s="5" t="s">
        <v>171</v>
      </c>
      <c r="C8" s="22" t="n">
        <f aca="false">'Vos chiffres'!C11</f>
        <v>0</v>
      </c>
    </row>
    <row r="9" customFormat="false" ht="15" hidden="false" customHeight="false" outlineLevel="0" collapsed="false">
      <c r="B9" s="5" t="s">
        <v>172</v>
      </c>
      <c r="C9" s="22" t="n">
        <f aca="false">-Résultats!C37</f>
        <v>-0</v>
      </c>
    </row>
    <row r="10" customFormat="false" ht="15" hidden="false" customHeight="false" outlineLevel="0" collapsed="false">
      <c r="B10" s="5" t="s">
        <v>139</v>
      </c>
      <c r="C10" s="22" t="n">
        <f aca="false">Résultats!C52</f>
        <v>-3888</v>
      </c>
    </row>
    <row r="11" customFormat="false" ht="15" hidden="false" customHeight="false" outlineLevel="0" collapsed="false">
      <c r="B11" s="2" t="s">
        <v>173</v>
      </c>
      <c r="C11" s="23" t="n">
        <f aca="false">MAX(0,SUM(C7:C10))</f>
        <v>61580.088</v>
      </c>
    </row>
    <row r="12" customFormat="false" ht="15" hidden="false" customHeight="false" outlineLevel="0" collapsed="false">
      <c r="B12" s="2" t="s">
        <v>174</v>
      </c>
      <c r="C12" s="23" t="n">
        <f aca="false">C11/12</f>
        <v>5131.674</v>
      </c>
    </row>
    <row r="14" customFormat="false" ht="15" hidden="false" customHeight="false" outlineLevel="0" collapsed="false">
      <c r="B14" s="4" t="s">
        <v>175</v>
      </c>
    </row>
    <row r="15" customFormat="false" ht="15" hidden="false" customHeight="false" outlineLevel="0" collapsed="false">
      <c r="B15" s="20" t="s">
        <v>176</v>
      </c>
      <c r="C15" s="21" t="n">
        <f aca="false">MAX(0,C12*Paramètres!$B$39-'Vos chiffres'!C25)</f>
        <v>1796.0859</v>
      </c>
    </row>
    <row r="16" customFormat="false" ht="15" hidden="false" customHeight="false" outlineLevel="0" collapsed="false">
      <c r="B16" s="5" t="s">
        <v>177</v>
      </c>
      <c r="C16" s="30" t="n">
        <f aca="false">'Vos chiffres'!C26</f>
        <v>0.0385</v>
      </c>
    </row>
    <row r="17" customFormat="false" ht="15" hidden="false" customHeight="false" outlineLevel="0" collapsed="false">
      <c r="B17" s="5" t="s">
        <v>178</v>
      </c>
      <c r="C17" s="28" t="n">
        <f aca="false">'Vos chiffres'!C27</f>
        <v>25</v>
      </c>
    </row>
    <row r="18" customFormat="false" ht="15" hidden="false" customHeight="false" outlineLevel="0" collapsed="false">
      <c r="B18" s="2" t="s">
        <v>179</v>
      </c>
      <c r="C18" s="23" t="n">
        <f aca="false">IF(C16=0,C15*12*C17,C15*(1-(1+C16/12)^(-C17*12))/(C16/12))</f>
        <v>345673.800880933</v>
      </c>
    </row>
    <row r="19" customFormat="false" ht="15" hidden="false" customHeight="false" outlineLevel="0" collapsed="false">
      <c r="B19" s="5" t="s">
        <v>180</v>
      </c>
      <c r="C19" s="22" t="n">
        <f aca="false">C15*12*C17-C18</f>
        <v>193151.969119067</v>
      </c>
    </row>
    <row r="20" customFormat="false" ht="15" hidden="false" customHeight="false" outlineLevel="0" collapsed="false">
      <c r="B20" s="5" t="s">
        <v>181</v>
      </c>
      <c r="C20" s="22" t="n">
        <f aca="false">'Vos chiffres'!C24</f>
        <v>30000</v>
      </c>
    </row>
    <row r="21" customFormat="false" ht="15" hidden="false" customHeight="false" outlineLevel="0" collapsed="false">
      <c r="B21" s="2" t="s">
        <v>182</v>
      </c>
      <c r="C21" s="23" t="n">
        <f aca="false">C18+C20</f>
        <v>375673.800880933</v>
      </c>
    </row>
    <row r="23" customFormat="false" ht="15" hidden="false" customHeight="false" outlineLevel="0" collapsed="false">
      <c r="B23" s="4" t="s">
        <v>183</v>
      </c>
    </row>
    <row r="24" customFormat="false" ht="15" hidden="false" customHeight="false" outlineLevel="0" collapsed="false">
      <c r="B24" s="20" t="s">
        <v>184</v>
      </c>
      <c r="C24" s="21" t="n">
        <f aca="false">C21/(1+Paramètres!$B$40)</f>
        <v>347846.11192679</v>
      </c>
    </row>
    <row r="25" customFormat="false" ht="15" hidden="false" customHeight="false" outlineLevel="0" collapsed="false">
      <c r="B25" s="5" t="s">
        <v>185</v>
      </c>
      <c r="C25" s="5" t="str">
        <f aca="false">'Vos chiffres'!C22</f>
        <v>Annemasse</v>
      </c>
    </row>
    <row r="26" customFormat="false" ht="15" hidden="false" customHeight="false" outlineLevel="0" collapsed="false">
      <c r="B26" s="5" t="s">
        <v>186</v>
      </c>
      <c r="C26" s="22" t="n">
        <f aca="false">'Vos chiffres'!C23</f>
        <v>4500</v>
      </c>
    </row>
    <row r="27" customFormat="false" ht="15" hidden="false" customHeight="false" outlineLevel="0" collapsed="false">
      <c r="B27" s="20" t="s">
        <v>187</v>
      </c>
      <c r="C27" s="31" t="n">
        <f aca="false">IF(C26&gt;0,C24/C26,0)</f>
        <v>77.2991359837311</v>
      </c>
      <c r="D27" s="18" t="s">
        <v>188</v>
      </c>
    </row>
    <row r="29" customFormat="false" ht="31.5" hidden="false" customHeight="true" outlineLevel="0" collapsed="false">
      <c r="B29" s="27" t="s">
        <v>189</v>
      </c>
      <c r="C29" s="27"/>
      <c r="D29" s="27"/>
    </row>
  </sheetData>
  <sheetProtection sheet="true" formatColumns="false" formatRows="false"/>
  <mergeCells count="1">
    <mergeCell ref="B29:D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6"/>
    <col collapsed="false" customWidth="true" hidden="false" outlineLevel="0" max="5" min="5" style="0" width="90"/>
  </cols>
  <sheetData>
    <row r="1" customFormat="false" ht="19.7" hidden="false" customHeight="false" outlineLevel="0" collapsed="false">
      <c r="A1" s="7" t="s">
        <v>190</v>
      </c>
    </row>
    <row r="2" customFormat="false" ht="15" hidden="false" customHeight="false" outlineLevel="0" collapsed="false">
      <c r="A2" s="3" t="s">
        <v>191</v>
      </c>
    </row>
    <row r="3" customFormat="false" ht="15" hidden="false" customHeight="false" outlineLevel="0" collapsed="false">
      <c r="A3" s="8" t="s">
        <v>192</v>
      </c>
      <c r="B3" s="8" t="s">
        <v>193</v>
      </c>
      <c r="C3" s="8"/>
      <c r="D3" s="8"/>
      <c r="E3" s="8" t="s">
        <v>194</v>
      </c>
    </row>
    <row r="4" customFormat="false" ht="15" hidden="false" customHeight="false" outlineLevel="0" collapsed="false">
      <c r="A4" s="5" t="s">
        <v>195</v>
      </c>
      <c r="B4" s="15" t="n">
        <v>0.053</v>
      </c>
      <c r="E4" s="3" t="s">
        <v>196</v>
      </c>
    </row>
    <row r="5" customFormat="false" ht="15" hidden="false" customHeight="false" outlineLevel="0" collapsed="false">
      <c r="A5" s="5" t="s">
        <v>197</v>
      </c>
      <c r="B5" s="15" t="n">
        <v>0.011</v>
      </c>
      <c r="E5" s="3" t="s">
        <v>198</v>
      </c>
    </row>
    <row r="6" customFormat="false" ht="15" hidden="false" customHeight="false" outlineLevel="0" collapsed="false">
      <c r="A6" s="5" t="s">
        <v>199</v>
      </c>
      <c r="B6" s="10" t="n">
        <v>148200</v>
      </c>
      <c r="E6" s="3" t="s">
        <v>200</v>
      </c>
    </row>
    <row r="7" customFormat="false" ht="15" hidden="false" customHeight="false" outlineLevel="0" collapsed="false">
      <c r="A7" s="5" t="s">
        <v>201</v>
      </c>
      <c r="B7" s="10" t="n">
        <v>22680</v>
      </c>
      <c r="E7" s="3" t="s">
        <v>202</v>
      </c>
    </row>
    <row r="8" customFormat="false" ht="15" hidden="false" customHeight="false" outlineLevel="0" collapsed="false">
      <c r="A8" s="5" t="s">
        <v>203</v>
      </c>
      <c r="B8" s="10" t="n">
        <v>26460</v>
      </c>
      <c r="E8" s="3" t="s">
        <v>204</v>
      </c>
    </row>
    <row r="9" customFormat="false" ht="15" hidden="false" customHeight="false" outlineLevel="0" collapsed="false">
      <c r="A9" s="5" t="s">
        <v>205</v>
      </c>
      <c r="B9" s="10" t="n">
        <v>3780</v>
      </c>
      <c r="E9" s="3" t="s">
        <v>204</v>
      </c>
    </row>
    <row r="10" customFormat="false" ht="15" hidden="false" customHeight="false" outlineLevel="0" collapsed="false">
      <c r="A10" s="5" t="s">
        <v>206</v>
      </c>
      <c r="B10" s="10" t="n">
        <v>90720</v>
      </c>
      <c r="E10" s="3" t="s">
        <v>207</v>
      </c>
    </row>
    <row r="11" customFormat="false" ht="15" hidden="false" customHeight="false" outlineLevel="0" collapsed="false">
      <c r="A11" s="5" t="s">
        <v>208</v>
      </c>
      <c r="B11" s="13" t="n">
        <v>0.07</v>
      </c>
      <c r="E11" s="3" t="s">
        <v>209</v>
      </c>
    </row>
    <row r="12" customFormat="false" ht="15" hidden="false" customHeight="false" outlineLevel="0" collapsed="false">
      <c r="A12" s="5" t="s">
        <v>210</v>
      </c>
      <c r="B12" s="13" t="n">
        <v>0.1</v>
      </c>
      <c r="E12" s="3" t="s">
        <v>211</v>
      </c>
    </row>
    <row r="13" customFormat="false" ht="15" hidden="false" customHeight="false" outlineLevel="0" collapsed="false">
      <c r="A13" s="5" t="s">
        <v>212</v>
      </c>
      <c r="B13" s="13" t="n">
        <v>0.15</v>
      </c>
      <c r="E13" s="3" t="s">
        <v>211</v>
      </c>
    </row>
    <row r="14" customFormat="false" ht="15" hidden="false" customHeight="false" outlineLevel="0" collapsed="false">
      <c r="A14" s="5" t="s">
        <v>213</v>
      </c>
      <c r="B14" s="13" t="n">
        <v>0.18</v>
      </c>
      <c r="E14" s="3" t="s">
        <v>211</v>
      </c>
    </row>
    <row r="15" customFormat="false" ht="15" hidden="false" customHeight="false" outlineLevel="0" collapsed="false">
      <c r="A15" s="5" t="s">
        <v>214</v>
      </c>
      <c r="B15" s="13" t="n">
        <v>0.5</v>
      </c>
      <c r="E15" s="3" t="s">
        <v>215</v>
      </c>
    </row>
    <row r="16" customFormat="false" ht="15" hidden="false" customHeight="false" outlineLevel="0" collapsed="false">
      <c r="A16" s="5" t="s">
        <v>216</v>
      </c>
      <c r="B16" s="13" t="n">
        <v>0.012</v>
      </c>
      <c r="E16" s="3" t="s">
        <v>217</v>
      </c>
    </row>
    <row r="17" customFormat="false" ht="15" hidden="false" customHeight="false" outlineLevel="0" collapsed="false">
      <c r="A17" s="5" t="s">
        <v>218</v>
      </c>
      <c r="B17" s="13" t="n">
        <v>0.005</v>
      </c>
      <c r="E17" s="3" t="s">
        <v>219</v>
      </c>
    </row>
    <row r="19" customFormat="false" ht="15" hidden="false" customHeight="false" outlineLevel="0" collapsed="false">
      <c r="A19" s="4" t="s">
        <v>220</v>
      </c>
    </row>
    <row r="20" customFormat="false" ht="26.85" hidden="false" customHeight="false" outlineLevel="0" collapsed="false">
      <c r="A20" s="8" t="s">
        <v>221</v>
      </c>
      <c r="B20" s="8" t="s">
        <v>222</v>
      </c>
      <c r="C20" s="8" t="s">
        <v>223</v>
      </c>
      <c r="D20" s="8" t="s">
        <v>224</v>
      </c>
      <c r="E20" s="8" t="s">
        <v>194</v>
      </c>
    </row>
    <row r="21" customFormat="false" ht="15" hidden="false" customHeight="false" outlineLevel="0" collapsed="false">
      <c r="A21" s="5" t="s">
        <v>225</v>
      </c>
      <c r="B21" s="32" t="n">
        <v>0</v>
      </c>
      <c r="C21" s="13" t="n">
        <v>0</v>
      </c>
      <c r="D21" s="19" t="n">
        <f aca="false">C21</f>
        <v>0</v>
      </c>
      <c r="E21" s="3" t="s">
        <v>226</v>
      </c>
    </row>
    <row r="22" customFormat="false" ht="15" hidden="false" customHeight="false" outlineLevel="0" collapsed="false">
      <c r="A22" s="5" t="s">
        <v>227</v>
      </c>
      <c r="B22" s="32" t="n">
        <v>11600</v>
      </c>
      <c r="C22" s="13" t="n">
        <v>0.11</v>
      </c>
      <c r="D22" s="19" t="n">
        <f aca="false">C22-C21</f>
        <v>0.11</v>
      </c>
      <c r="E22" s="3" t="s">
        <v>228</v>
      </c>
    </row>
    <row r="23" customFormat="false" ht="15" hidden="false" customHeight="false" outlineLevel="0" collapsed="false">
      <c r="A23" s="5" t="s">
        <v>229</v>
      </c>
      <c r="B23" s="32" t="n">
        <v>29579</v>
      </c>
      <c r="C23" s="13" t="n">
        <v>0.3</v>
      </c>
      <c r="D23" s="19" t="n">
        <f aca="false">C23-C22</f>
        <v>0.19</v>
      </c>
    </row>
    <row r="24" customFormat="false" ht="15" hidden="false" customHeight="false" outlineLevel="0" collapsed="false">
      <c r="A24" s="5" t="s">
        <v>230</v>
      </c>
      <c r="B24" s="32" t="n">
        <v>84577</v>
      </c>
      <c r="C24" s="13" t="n">
        <v>0.41</v>
      </c>
      <c r="D24" s="19" t="n">
        <f aca="false">C24-C23</f>
        <v>0.11</v>
      </c>
    </row>
    <row r="25" customFormat="false" ht="15" hidden="false" customHeight="false" outlineLevel="0" collapsed="false">
      <c r="A25" s="5" t="s">
        <v>231</v>
      </c>
      <c r="B25" s="32" t="n">
        <v>181917</v>
      </c>
      <c r="C25" s="13" t="n">
        <v>0.45</v>
      </c>
      <c r="D25" s="19" t="n">
        <f aca="false">C25-C24</f>
        <v>0.04</v>
      </c>
    </row>
    <row r="27" customFormat="false" ht="15" hidden="false" customHeight="false" outlineLevel="0" collapsed="false">
      <c r="A27" s="5" t="s">
        <v>232</v>
      </c>
      <c r="B27" s="12" t="n">
        <v>1807</v>
      </c>
      <c r="E27" s="3" t="s">
        <v>233</v>
      </c>
    </row>
    <row r="28" customFormat="false" ht="15" hidden="false" customHeight="false" outlineLevel="0" collapsed="false">
      <c r="A28" s="5" t="s">
        <v>234</v>
      </c>
      <c r="B28" s="13" t="n">
        <v>0.1</v>
      </c>
      <c r="E28" s="3" t="s">
        <v>235</v>
      </c>
    </row>
    <row r="29" customFormat="false" ht="15" hidden="false" customHeight="false" outlineLevel="0" collapsed="false">
      <c r="A29" s="5" t="s">
        <v>236</v>
      </c>
      <c r="B29" s="12" t="n">
        <v>509</v>
      </c>
      <c r="E29" s="3" t="s">
        <v>237</v>
      </c>
    </row>
    <row r="30" customFormat="false" ht="15" hidden="false" customHeight="false" outlineLevel="0" collapsed="false">
      <c r="A30" s="5" t="s">
        <v>238</v>
      </c>
      <c r="B30" s="12" t="n">
        <v>14555</v>
      </c>
      <c r="E30" s="3" t="s">
        <v>239</v>
      </c>
    </row>
    <row r="31" customFormat="false" ht="15" hidden="false" customHeight="false" outlineLevel="0" collapsed="false">
      <c r="A31" s="5" t="s">
        <v>240</v>
      </c>
      <c r="B31" s="12" t="n">
        <v>897</v>
      </c>
      <c r="E31" s="3" t="s">
        <v>241</v>
      </c>
    </row>
    <row r="32" customFormat="false" ht="15" hidden="false" customHeight="false" outlineLevel="0" collapsed="false">
      <c r="A32" s="5" t="s">
        <v>242</v>
      </c>
      <c r="B32" s="12" t="n">
        <v>1483</v>
      </c>
      <c r="E32" s="3" t="s">
        <v>243</v>
      </c>
    </row>
    <row r="33" customFormat="false" ht="15" hidden="false" customHeight="false" outlineLevel="0" collapsed="false">
      <c r="A33" s="5" t="s">
        <v>244</v>
      </c>
      <c r="B33" s="15" t="n">
        <v>0.4525</v>
      </c>
      <c r="E33" s="3" t="s">
        <v>245</v>
      </c>
    </row>
    <row r="35" customFormat="false" ht="15" hidden="false" customHeight="false" outlineLevel="0" collapsed="false">
      <c r="A35" s="5" t="s">
        <v>246</v>
      </c>
      <c r="B35" s="12" t="n">
        <v>48060</v>
      </c>
      <c r="E35" s="3" t="s">
        <v>247</v>
      </c>
    </row>
    <row r="36" customFormat="false" ht="15" hidden="false" customHeight="false" outlineLevel="0" collapsed="false">
      <c r="A36" s="5" t="s">
        <v>248</v>
      </c>
      <c r="B36" s="22" t="n">
        <f aca="false">B35*0.25</f>
        <v>12015</v>
      </c>
      <c r="E36" s="3" t="s">
        <v>249</v>
      </c>
    </row>
    <row r="37" customFormat="false" ht="15" hidden="false" customHeight="false" outlineLevel="0" collapsed="false">
      <c r="A37" s="5" t="s">
        <v>250</v>
      </c>
      <c r="B37" s="13" t="n">
        <v>0.08</v>
      </c>
      <c r="E37" s="3" t="s">
        <v>251</v>
      </c>
    </row>
    <row r="39" customFormat="false" ht="15" hidden="false" customHeight="false" outlineLevel="0" collapsed="false">
      <c r="A39" s="5" t="s">
        <v>252</v>
      </c>
      <c r="B39" s="13" t="n">
        <v>0.35</v>
      </c>
      <c r="E39" s="3" t="s">
        <v>253</v>
      </c>
    </row>
    <row r="40" customFormat="false" ht="15" hidden="false" customHeight="false" outlineLevel="0" collapsed="false">
      <c r="A40" s="5" t="s">
        <v>254</v>
      </c>
      <c r="B40" s="13" t="n">
        <v>0.08</v>
      </c>
      <c r="E40" s="3" t="s">
        <v>255</v>
      </c>
    </row>
    <row r="41" customFormat="false" ht="15" hidden="false" customHeight="false" outlineLevel="0" collapsed="false">
      <c r="A41" s="5" t="s">
        <v>256</v>
      </c>
      <c r="B41" s="13" t="n">
        <v>0.4</v>
      </c>
      <c r="E41" s="3" t="s">
        <v>257</v>
      </c>
    </row>
    <row r="43" customFormat="false" ht="15" hidden="false" customHeight="false" outlineLevel="0" collapsed="false">
      <c r="A43" s="4" t="s">
        <v>258</v>
      </c>
    </row>
    <row r="44" customFormat="false" ht="39.55" hidden="false" customHeight="false" outlineLevel="0" collapsed="false">
      <c r="A44" s="8" t="s">
        <v>87</v>
      </c>
      <c r="B44" s="8" t="s">
        <v>259</v>
      </c>
      <c r="C44" s="8" t="s">
        <v>260</v>
      </c>
      <c r="D44" s="8" t="s">
        <v>261</v>
      </c>
      <c r="E44" s="8" t="s">
        <v>262</v>
      </c>
    </row>
    <row r="45" customFormat="false" ht="15" hidden="false" customHeight="false" outlineLevel="0" collapsed="false">
      <c r="A45" s="5" t="s">
        <v>32</v>
      </c>
      <c r="B45" s="9" t="s">
        <v>263</v>
      </c>
      <c r="C45" s="10" t="n">
        <v>300</v>
      </c>
      <c r="D45" s="13" t="n">
        <v>0.1</v>
      </c>
      <c r="E45" s="3" t="s">
        <v>264</v>
      </c>
    </row>
    <row r="46" customFormat="false" ht="15" hidden="false" customHeight="false" outlineLevel="0" collapsed="false">
      <c r="A46" s="5" t="s">
        <v>265</v>
      </c>
      <c r="B46" s="9" t="s">
        <v>266</v>
      </c>
      <c r="C46" s="10" t="n">
        <v>270</v>
      </c>
      <c r="D46" s="13" t="n">
        <v>0</v>
      </c>
      <c r="E46" s="3" t="s">
        <v>267</v>
      </c>
    </row>
    <row r="47" customFormat="false" ht="15" hidden="false" customHeight="false" outlineLevel="0" collapsed="false">
      <c r="A47" s="5" t="s">
        <v>268</v>
      </c>
      <c r="B47" s="9" t="s">
        <v>266</v>
      </c>
      <c r="C47" s="10" t="n">
        <v>250</v>
      </c>
      <c r="D47" s="13" t="n">
        <v>0</v>
      </c>
      <c r="E47" s="3" t="s">
        <v>269</v>
      </c>
    </row>
    <row r="48" customFormat="false" ht="15" hidden="false" customHeight="false" outlineLevel="0" collapsed="false">
      <c r="A48" s="5" t="s">
        <v>270</v>
      </c>
      <c r="B48" s="9" t="s">
        <v>266</v>
      </c>
      <c r="C48" s="10" t="n">
        <v>230</v>
      </c>
      <c r="D48" s="13" t="n">
        <v>0</v>
      </c>
      <c r="E48" s="3" t="s">
        <v>269</v>
      </c>
    </row>
    <row r="49" customFormat="false" ht="15" hidden="false" customHeight="false" outlineLevel="0" collapsed="false">
      <c r="A49" s="5" t="s">
        <v>271</v>
      </c>
      <c r="B49" s="9" t="s">
        <v>266</v>
      </c>
      <c r="C49" s="10" t="n">
        <v>220</v>
      </c>
      <c r="D49" s="13" t="n">
        <v>0</v>
      </c>
      <c r="E49" s="3" t="s">
        <v>269</v>
      </c>
    </row>
    <row r="50" customFormat="false" ht="15" hidden="false" customHeight="false" outlineLevel="0" collapsed="false">
      <c r="A50" s="5" t="s">
        <v>272</v>
      </c>
      <c r="B50" s="9" t="s">
        <v>266</v>
      </c>
      <c r="C50" s="10" t="n">
        <v>240</v>
      </c>
      <c r="D50" s="13" t="n">
        <v>0</v>
      </c>
      <c r="E50" s="3" t="s">
        <v>269</v>
      </c>
    </row>
    <row r="51" customFormat="false" ht="15" hidden="false" customHeight="false" outlineLevel="0" collapsed="false">
      <c r="A51" s="5" t="s">
        <v>273</v>
      </c>
      <c r="B51" s="9" t="s">
        <v>266</v>
      </c>
      <c r="C51" s="10" t="n">
        <v>260</v>
      </c>
      <c r="D51" s="13" t="n">
        <v>0</v>
      </c>
      <c r="E51" s="3" t="s">
        <v>269</v>
      </c>
    </row>
    <row r="52" customFormat="false" ht="15" hidden="false" customHeight="false" outlineLevel="0" collapsed="false">
      <c r="A52" s="5" t="s">
        <v>274</v>
      </c>
      <c r="B52" s="9" t="s">
        <v>266</v>
      </c>
      <c r="C52" s="10" t="n">
        <v>250</v>
      </c>
      <c r="D52" s="13" t="n">
        <v>0</v>
      </c>
      <c r="E52" s="3" t="s">
        <v>269</v>
      </c>
    </row>
    <row r="53" customFormat="false" ht="15" hidden="false" customHeight="false" outlineLevel="0" collapsed="false">
      <c r="A53" s="5" t="s">
        <v>275</v>
      </c>
      <c r="B53" s="9" t="s">
        <v>266</v>
      </c>
      <c r="C53" s="10" t="n">
        <v>230</v>
      </c>
      <c r="D53" s="13" t="n">
        <v>0</v>
      </c>
      <c r="E53" s="3" t="s">
        <v>269</v>
      </c>
    </row>
    <row r="54" customFormat="false" ht="15" hidden="false" customHeight="false" outlineLevel="0" collapsed="false">
      <c r="A54" s="5" t="s">
        <v>276</v>
      </c>
      <c r="B54" s="9" t="s">
        <v>263</v>
      </c>
      <c r="C54" s="10" t="n">
        <v>250</v>
      </c>
      <c r="D54" s="13" t="n">
        <v>0.1</v>
      </c>
      <c r="E54" s="3" t="s">
        <v>277</v>
      </c>
    </row>
    <row r="56" customFormat="false" ht="15" hidden="false" customHeight="false" outlineLevel="0" collapsed="false">
      <c r="A56" s="3" t="s">
        <v>278</v>
      </c>
    </row>
  </sheetData>
  <sheetProtection sheet="true" formatColumns="false" formatRows="false"/>
  <dataValidations count="1">
    <dataValidation allowBlank="false" errorStyle="stop" operator="between" showDropDown="false" showErrorMessage="false" showInputMessage="false" sqref="B45:B54" type="list">
      <formula1>"Source,France"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2026-11-01T08:56:17Z</dcterms:created>
  <dc:creator>openpyxl</dc:creator>
  <dc:description/>
  <dc:language>en-US</dc:language>
  <cp:lastModifiedBy/>
  <dcterms:modified xsi:type="dcterms:W3CDTF">2026-11-01T08:56:17Z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